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https://mtgov-my.sharepoint.com/personal/cnb968_mt_gov/Documents/Water Rights/Form 649 Revision/"/>
    </mc:Choice>
  </mc:AlternateContent>
  <xr:revisionPtr revIDLastSave="22" documentId="8_{9969CE78-73AA-4F01-8E65-736E35E19251}" xr6:coauthVersionLast="47" xr6:coauthVersionMax="47" xr10:uidLastSave="{992AA256-27FC-4F62-893A-F9D43870DFA0}"/>
  <workbookProtection workbookAlgorithmName="SHA-512" workbookHashValue="trY+7usnY2Wbfdfl8+aArbXLPEF9NjJRzVb0KHE5aet3Ls+eBbSKY26DH6jNLn8iEjR4EQo6FsVWRVlP+YN+bw==" workbookSaltValue="VoxPKt4IcfDEjKF1Aw/0Ig==" workbookSpinCount="100000" lockStructure="1"/>
  <bookViews>
    <workbookView xWindow="28680" yWindow="-60" windowWidth="29040" windowHeight="17640" xr2:uid="{00000000-000D-0000-FFFF-FFFF00000000}"/>
  </bookViews>
  <sheets>
    <sheet name="Read_Me" sheetId="5" r:id="rId1"/>
    <sheet name="Flow Measurements" sheetId="2" r:id="rId2"/>
    <sheet name="Flumes and Weirs" sheetId="1" r:id="rId3"/>
    <sheet name="Float-Area Method" sheetId="3" r:id="rId4"/>
    <sheet name="Container Method" sheetId="4"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9" i="2" l="1"/>
  <c r="B21" i="3" l="1"/>
  <c r="N21" i="3" s="1" a="1"/>
  <c r="N21" i="3" s="1"/>
  <c r="D8" i="4"/>
  <c r="E41" i="2"/>
  <c r="E40" i="2"/>
  <c r="E39" i="2"/>
  <c r="E38" i="2"/>
  <c r="E37" i="2"/>
  <c r="E36" i="2"/>
  <c r="E35" i="2"/>
  <c r="E34" i="2"/>
  <c r="E33" i="2"/>
  <c r="E32" i="2"/>
  <c r="E31" i="2"/>
  <c r="H41" i="2"/>
  <c r="G41" i="2"/>
  <c r="H40" i="2"/>
  <c r="G40" i="2"/>
  <c r="H39" i="2"/>
  <c r="G39" i="2"/>
  <c r="H38" i="2"/>
  <c r="G38" i="2"/>
  <c r="H37" i="2"/>
  <c r="G37" i="2"/>
  <c r="H36" i="2"/>
  <c r="G36" i="2"/>
  <c r="H35" i="2"/>
  <c r="G35" i="2"/>
  <c r="H34" i="2"/>
  <c r="G34" i="2"/>
  <c r="H33" i="2"/>
  <c r="G33" i="2"/>
  <c r="H32" i="2"/>
  <c r="G32" i="2"/>
  <c r="H31" i="2"/>
  <c r="G31" i="2"/>
  <c r="H30" i="2"/>
  <c r="G30" i="2"/>
  <c r="H29" i="2"/>
  <c r="H28" i="2"/>
  <c r="G28" i="2"/>
  <c r="H27" i="2"/>
  <c r="G27" i="2"/>
  <c r="H26" i="2"/>
  <c r="G26" i="2"/>
  <c r="H25" i="2"/>
  <c r="G25" i="2"/>
  <c r="H24" i="2"/>
  <c r="G24" i="2"/>
  <c r="H23" i="2"/>
  <c r="G23" i="2"/>
  <c r="H22" i="2"/>
  <c r="G22" i="2"/>
  <c r="H21" i="2"/>
  <c r="G21" i="2"/>
  <c r="H20" i="2"/>
  <c r="G20" i="2"/>
  <c r="H19" i="2"/>
  <c r="G19" i="2"/>
  <c r="H18" i="2"/>
  <c r="G18" i="2"/>
  <c r="H17" i="2"/>
  <c r="G17" i="2"/>
  <c r="H16" i="2"/>
  <c r="G16" i="2"/>
  <c r="H15" i="2"/>
  <c r="G15" i="2"/>
  <c r="H14" i="2"/>
  <c r="G14" i="2"/>
  <c r="H13" i="2"/>
  <c r="G13" i="2"/>
  <c r="H12" i="2"/>
  <c r="G12" i="2"/>
  <c r="H11" i="2"/>
  <c r="G11" i="2"/>
  <c r="B19" i="3"/>
  <c r="B15" i="3"/>
  <c r="B17" i="3" l="1"/>
  <c r="M21" i="3"/>
  <c r="B23" i="3"/>
  <c r="E10" i="2"/>
  <c r="I41" i="2"/>
  <c r="I39" i="2"/>
  <c r="I37" i="2"/>
  <c r="I36" i="2"/>
  <c r="I35" i="2"/>
  <c r="I32" i="2"/>
  <c r="I31" i="2"/>
  <c r="I27" i="2"/>
  <c r="I23" i="2"/>
  <c r="I21" i="2"/>
  <c r="I20" i="2"/>
  <c r="I19" i="2"/>
  <c r="I16" i="2"/>
  <c r="I13" i="2"/>
  <c r="I12" i="2"/>
  <c r="I40" i="2"/>
  <c r="I38" i="2"/>
  <c r="I34" i="2"/>
  <c r="I33" i="2"/>
  <c r="I30" i="2"/>
  <c r="I29" i="2"/>
  <c r="I26" i="2"/>
  <c r="I25" i="2"/>
  <c r="I24" i="2"/>
  <c r="I22" i="2"/>
  <c r="I18" i="2"/>
  <c r="I17" i="2"/>
  <c r="I15" i="2"/>
  <c r="I14" i="2"/>
  <c r="D10" i="2"/>
  <c r="B11" i="1"/>
  <c r="E11" i="1"/>
  <c r="D17" i="1"/>
  <c r="D19" i="1"/>
  <c r="E13" i="1"/>
  <c r="C13" i="1"/>
  <c r="G17" i="1"/>
  <c r="G19" i="1"/>
  <c r="B12" i="1"/>
  <c r="D27" i="1"/>
  <c r="D25" i="1"/>
  <c r="B10" i="1"/>
  <c r="E10" i="1"/>
  <c r="E9" i="1"/>
  <c r="B9" i="1"/>
  <c r="E8" i="1"/>
  <c r="D23" i="1"/>
  <c r="D21" i="1"/>
  <c r="B7" i="1"/>
  <c r="B8" i="1"/>
  <c r="B25" i="3" l="1"/>
  <c r="B26" i="3" s="1"/>
  <c r="I28" i="2"/>
  <c r="I11" i="2"/>
  <c r="H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<sst xmlns="http://schemas.openxmlformats.org/spreadsheetml/2006/main" count="124" uniqueCount="64">
  <si>
    <t>Select from Dropdown List</t>
  </si>
  <si>
    <t>Rectangular Contracted Weir</t>
  </si>
  <si>
    <t>Parshall Flume</t>
  </si>
  <si>
    <t>Cipolletti Weir</t>
  </si>
  <si>
    <t>Rectangular Submerged Orifice</t>
  </si>
  <si>
    <t>Trapezoidal Flume</t>
  </si>
  <si>
    <t>cfs</t>
  </si>
  <si>
    <t>ft</t>
  </si>
  <si>
    <t>90 Degree Triangular or V-Notch Weir</t>
  </si>
  <si>
    <t>Calculate free flow - no adjustment for submergence</t>
  </si>
  <si>
    <t>MONTANA DNRC</t>
  </si>
  <si>
    <t>Water Resources Division</t>
  </si>
  <si>
    <t>Distance</t>
  </si>
  <si>
    <t>Width</t>
  </si>
  <si>
    <t>Depth</t>
  </si>
  <si>
    <t>0.6 Depth</t>
  </si>
  <si>
    <t>Mean Velocity (Calculated)</t>
  </si>
  <si>
    <t>Discharge (Calculated)</t>
  </si>
  <si>
    <t>USGS Methodology (&gt; or = 20 sections, 0.6 depth)</t>
  </si>
  <si>
    <t>Area (Calculated)</t>
  </si>
  <si>
    <t>Select Method from Drop Down List</t>
  </si>
  <si>
    <t>Measurements Taken By:</t>
  </si>
  <si>
    <t>Date:</t>
  </si>
  <si>
    <t>= Required information to be input</t>
  </si>
  <si>
    <t>Note:  Formulas for Free Flow calculations taken from Irrigation Water Measurement:  Irrigation Ditches and Pipelines.  University of Wyoming Extension Bulletin 583R. June 2013.</t>
  </si>
  <si>
    <t>Cross Sectional Area (Sq. ft.)</t>
  </si>
  <si>
    <t>Average Depth</t>
  </si>
  <si>
    <t>Average Width</t>
  </si>
  <si>
    <t>Float Velocity in feet per second (fps)</t>
  </si>
  <si>
    <t>3rd run</t>
  </si>
  <si>
    <t>2nd run</t>
  </si>
  <si>
    <t>Coefficient</t>
  </si>
  <si>
    <t>Average Depth in ft.</t>
  </si>
  <si>
    <t>1st run</t>
  </si>
  <si>
    <t>Coefficients for Converting Float Velocity to Water Velocity</t>
  </si>
  <si>
    <t xml:space="preserve">Number of Seconds </t>
  </si>
  <si>
    <t>Length of Run in Feet</t>
  </si>
  <si>
    <t>Top Width</t>
  </si>
  <si>
    <t>Bottom Width</t>
  </si>
  <si>
    <t>Upstream</t>
  </si>
  <si>
    <t>Downstream</t>
  </si>
  <si>
    <t>Average Water velocity</t>
  </si>
  <si>
    <t>Flow rate</t>
  </si>
  <si>
    <t>gpm</t>
  </si>
  <si>
    <t>Greater than 20</t>
  </si>
  <si>
    <t>Coefficient Lookup Check</t>
  </si>
  <si>
    <t>Note:  Illustration and Coefficient table taken from The Float Area Method.  Montana State University Extension. MT 9125.</t>
  </si>
  <si>
    <t>N/A</t>
  </si>
  <si>
    <t>Total Discharge (Calculated):</t>
  </si>
  <si>
    <t xml:space="preserve">Include all requested data collected on this form.  If requested data was not collected, enter "N/A" in the cell and include brief explanation of why the data was not collected. </t>
  </si>
  <si>
    <t xml:space="preserve">This form assumes a minimum of 20 sections, and pre-populates additional cells with "N/A" for convenience. </t>
  </si>
  <si>
    <t xml:space="preserve"> If additional sections are used, replace the "N/A" values with those for the data collected.</t>
  </si>
  <si>
    <t>gallons</t>
  </si>
  <si>
    <t>Time to fill:</t>
  </si>
  <si>
    <t>seconds</t>
  </si>
  <si>
    <t>Size of Container:</t>
  </si>
  <si>
    <t>Flow Rate (calculated):</t>
  </si>
  <si>
    <t>This form has been expanded to allow for additional methods of water measurement.</t>
  </si>
  <si>
    <t>Only the worksheet/tab that is relevant for the method use is required to be filled out.</t>
  </si>
  <si>
    <t>If there are additional cells marked as required that are not used, enter "N/A".</t>
  </si>
  <si>
    <t>For each worksheet/tab, make sure that all cells marked as required are filled in.  These cells are shaded in gray.</t>
  </si>
  <si>
    <t>If the method used for measuring and estimating flow is not represented on this spreadsheet, provide the measurements and any calculations below on this worksheet/tab.</t>
  </si>
  <si>
    <t>Less than 1</t>
  </si>
  <si>
    <t>Disclaimer: The size of the float matters for accurate estimates, especially for depths under 1 ft. A bottle filled partially with water or a wooden rod with a weight on one end are ideal. Anything that sits down in the water column is acceptible. Do not use items that are light and only sit on the surface (such as leaves, small sticks, small pieces of plastic, etc.). Make sure the float does not contact the bottom of the channel over the lenght of the run.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</si>
</sst>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10"/>
      <name val="Arial"/>
      <family val="2"/>
    </font>
    <font>
      <sz val="10"/>
      <name val="Arial"/>
      <family val="2"/>
    </font>
    <font>
      <b/>
      <sz val="9"/>
      <name val="Arial"/>
      <family val="2"/>
    </font>
  </fonts>
  <fills count="3">
    <fill>
      <patternFill patternType="none"/>
    </fill>
    <fill>
      <patternFill patternType="gray125"/>
    </fill>
    <fill>
      <patternFill patternType="solid">
        <fgColor theme="0" tint="-0.14999847407452621"/>
        <bgColor indexed="64"/>
      </patternFill>
    </fill>
  </fills>
  <borders count="2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s>
  <cellStyleXfs count="1">
    <xf numFmtId="0" fontId="0" fillId="0" borderId="0"/>
  </cellStyleXfs>
  <cellXfs count="74">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2" fontId="0" fillId="0" borderId="0" xfId="0" applyNumberFormat="1" applyBorder="1"/>
    <xf numFmtId="2" fontId="0" fillId="0" borderId="7" xfId="0" applyNumberFormat="1" applyBorder="1"/>
    <xf numFmtId="0" fontId="0" fillId="0" borderId="0" xfId="0" applyBorder="1" applyAlignment="1">
      <alignment wrapText="1"/>
    </xf>
    <xf numFmtId="0" fontId="0" fillId="0" borderId="4" xfId="0" applyBorder="1" applyAlignment="1"/>
    <xf numFmtId="0" fontId="0" fillId="2" borderId="0" xfId="0" applyFill="1"/>
    <xf numFmtId="0" fontId="0" fillId="0" borderId="0" xfId="0" quotePrefix="1"/>
    <xf numFmtId="0" fontId="2" fillId="0" borderId="1" xfId="0" applyFont="1" applyBorder="1" applyAlignment="1">
      <alignment horizontal="left"/>
    </xf>
    <xf numFmtId="0" fontId="0" fillId="0" borderId="4" xfId="0" applyBorder="1" applyAlignment="1">
      <alignment horizontal="left"/>
    </xf>
    <xf numFmtId="0" fontId="3" fillId="0" borderId="4" xfId="0" applyFont="1" applyBorder="1"/>
    <xf numFmtId="0" fontId="0" fillId="0" borderId="9" xfId="0" applyBorder="1"/>
    <xf numFmtId="0" fontId="0" fillId="0" borderId="10" xfId="0" applyBorder="1"/>
    <xf numFmtId="0" fontId="0" fillId="0" borderId="11" xfId="0" applyBorder="1"/>
    <xf numFmtId="0" fontId="4" fillId="0" borderId="14" xfId="0" applyFont="1" applyBorder="1" applyAlignment="1">
      <alignment horizontal="center" wrapText="1"/>
    </xf>
    <xf numFmtId="0" fontId="4" fillId="0" borderId="12" xfId="0" applyFont="1" applyBorder="1" applyAlignment="1">
      <alignment horizontal="center" wrapText="1"/>
    </xf>
    <xf numFmtId="0" fontId="4" fillId="0" borderId="5" xfId="0" applyFont="1" applyBorder="1" applyAlignment="1">
      <alignment horizontal="center" wrapText="1"/>
    </xf>
    <xf numFmtId="0" fontId="1" fillId="0" borderId="4" xfId="0" applyFont="1" applyBorder="1"/>
    <xf numFmtId="0" fontId="0" fillId="0" borderId="0" xfId="0" applyBorder="1" applyAlignment="1">
      <alignment horizontal="right"/>
    </xf>
    <xf numFmtId="0" fontId="0" fillId="0" borderId="0" xfId="0" applyAlignment="1">
      <alignment horizontal="right"/>
    </xf>
    <xf numFmtId="0" fontId="0" fillId="0" borderId="4" xfId="0" applyBorder="1" applyAlignment="1">
      <alignment horizontal="right"/>
    </xf>
    <xf numFmtId="0" fontId="4" fillId="0" borderId="15"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0" fillId="0" borderId="19" xfId="0" applyBorder="1"/>
    <xf numFmtId="0" fontId="0" fillId="0" borderId="0" xfId="0" applyAlignment="1">
      <alignment horizontal="center"/>
    </xf>
    <xf numFmtId="0" fontId="1" fillId="0" borderId="0" xfId="0" applyFont="1" applyAlignment="1">
      <alignment wrapText="1"/>
    </xf>
    <xf numFmtId="2" fontId="0" fillId="0" borderId="0" xfId="0" applyNumberFormat="1" applyFill="1" applyBorder="1"/>
    <xf numFmtId="0" fontId="0" fillId="0" borderId="0" xfId="0" applyFont="1"/>
    <xf numFmtId="0" fontId="0" fillId="0" borderId="0" xfId="0" applyFont="1" applyAlignment="1">
      <alignment wrapText="1"/>
    </xf>
    <xf numFmtId="0" fontId="0" fillId="0" borderId="0" xfId="0" applyFont="1" applyFill="1" applyAlignment="1">
      <alignment wrapText="1"/>
    </xf>
    <xf numFmtId="0" fontId="0" fillId="0" borderId="9" xfId="0" applyFill="1" applyBorder="1" applyAlignment="1">
      <alignment horizontal="left"/>
    </xf>
    <xf numFmtId="0" fontId="0" fillId="0" borderId="11" xfId="0" applyFill="1" applyBorder="1"/>
    <xf numFmtId="2" fontId="0" fillId="0" borderId="11" xfId="0" applyNumberFormat="1" applyFill="1" applyBorder="1"/>
    <xf numFmtId="0" fontId="0" fillId="0" borderId="9" xfId="0" applyNumberFormat="1" applyFill="1" applyBorder="1" applyAlignment="1">
      <alignment horizontal="left"/>
    </xf>
    <xf numFmtId="0" fontId="0" fillId="0" borderId="20" xfId="0" applyFill="1" applyBorder="1" applyAlignment="1">
      <alignment horizontal="left"/>
    </xf>
    <xf numFmtId="2" fontId="0" fillId="0" borderId="21" xfId="0" applyNumberFormat="1" applyFill="1" applyBorder="1"/>
    <xf numFmtId="2" fontId="0" fillId="0" borderId="0" xfId="0" applyNumberFormat="1" applyAlignment="1">
      <alignment horizontal="center"/>
    </xf>
    <xf numFmtId="2" fontId="0" fillId="0" borderId="0" xfId="0" applyNumberFormat="1" applyFill="1" applyBorder="1" applyAlignment="1">
      <alignment horizontal="center"/>
    </xf>
    <xf numFmtId="0" fontId="0" fillId="0" borderId="0" xfId="0" applyAlignment="1">
      <alignment vertical="center" wrapText="1"/>
    </xf>
    <xf numFmtId="0" fontId="0" fillId="0" borderId="0" xfId="0" applyAlignment="1">
      <alignment wrapText="1"/>
    </xf>
    <xf numFmtId="0" fontId="0" fillId="0" borderId="0" xfId="0" applyAlignment="1">
      <alignment vertical="top" wrapText="1"/>
    </xf>
    <xf numFmtId="0" fontId="0" fillId="0" borderId="13" xfId="0" applyBorder="1"/>
    <xf numFmtId="0" fontId="0" fillId="0" borderId="18" xfId="0" applyBorder="1"/>
    <xf numFmtId="0" fontId="4" fillId="0" borderId="22" xfId="0" applyFont="1" applyBorder="1" applyAlignment="1">
      <alignment horizontal="center" wrapText="1"/>
    </xf>
    <xf numFmtId="2" fontId="0" fillId="2" borderId="10" xfId="0" applyNumberFormat="1" applyFill="1" applyBorder="1" applyProtection="1">
      <protection locked="0"/>
    </xf>
    <xf numFmtId="0" fontId="0" fillId="2" borderId="0" xfId="0" applyFill="1" applyProtection="1">
      <protection locked="0"/>
    </xf>
    <xf numFmtId="0" fontId="0" fillId="2" borderId="0" xfId="0" applyFill="1" applyBorder="1" applyProtection="1">
      <protection locked="0"/>
    </xf>
    <xf numFmtId="0" fontId="0" fillId="0" borderId="0" xfId="0" applyFill="1" applyBorder="1" applyProtection="1">
      <protection locked="0"/>
    </xf>
    <xf numFmtId="0" fontId="0" fillId="0" borderId="0" xfId="0" applyBorder="1" applyProtection="1">
      <protection locked="0"/>
    </xf>
    <xf numFmtId="14" fontId="0" fillId="2" borderId="0" xfId="0" applyNumberFormat="1" applyFill="1" applyBorder="1" applyProtection="1">
      <protection locked="0"/>
    </xf>
    <xf numFmtId="0" fontId="0" fillId="2" borderId="4" xfId="0" applyFill="1" applyBorder="1" applyProtection="1">
      <protection locked="0"/>
    </xf>
    <xf numFmtId="0" fontId="0" fillId="2" borderId="9" xfId="0" applyFill="1" applyBorder="1" applyProtection="1">
      <protection locked="0"/>
    </xf>
    <xf numFmtId="0" fontId="0" fillId="2" borderId="10" xfId="0" applyFill="1" applyBorder="1" applyProtection="1">
      <protection locked="0"/>
    </xf>
    <xf numFmtId="0" fontId="0" fillId="0" borderId="11" xfId="0" applyBorder="1" applyProtection="1">
      <protection locked="0"/>
    </xf>
    <xf numFmtId="0" fontId="0" fillId="2" borderId="18" xfId="0" applyFill="1" applyBorder="1" applyProtection="1">
      <protection locked="0"/>
    </xf>
    <xf numFmtId="0" fontId="0" fillId="0" borderId="19" xfId="0" applyBorder="1" applyProtection="1">
      <protection locked="0"/>
    </xf>
    <xf numFmtId="0" fontId="0" fillId="0" borderId="0" xfId="0" applyAlignment="1">
      <alignment vertical="top" wrapText="1"/>
    </xf>
    <xf numFmtId="0" fontId="0" fillId="2" borderId="0" xfId="0" applyFill="1" applyAlignment="1" applyProtection="1">
      <alignment horizontal="left"/>
      <protection locked="0"/>
    </xf>
    <xf numFmtId="0" fontId="1" fillId="0" borderId="0" xfId="0" applyFont="1" applyAlignment="1">
      <alignment horizontal="left"/>
    </xf>
    <xf numFmtId="0" fontId="1" fillId="0" borderId="15" xfId="0" applyFont="1" applyBorder="1" applyAlignment="1">
      <alignment wrapText="1"/>
    </xf>
    <xf numFmtId="0" fontId="1" fillId="0" borderId="17" xfId="0" applyFont="1" applyBorder="1" applyAlignment="1">
      <alignment wrapText="1"/>
    </xf>
    <xf numFmtId="0" fontId="0" fillId="0" borderId="0" xfId="0" applyAlignment="1">
      <alignment horizontal="center"/>
    </xf>
    <xf numFmtId="0" fontId="0" fillId="0" borderId="0" xfId="0" applyFont="1" applyAlignment="1">
      <alignment horizontal="left" vertical="top" wrapText="1"/>
    </xf>
    <xf numFmtId="0" fontId="0" fillId="0" borderId="2" xfId="0" applyBorder="1" applyProtection="1">
      <protection locked="0"/>
    </xf>
    <xf numFmtId="0" fontId="0" fillId="0" borderId="7" xfId="0" applyBorder="1" applyProtection="1">
      <protection locked="0"/>
    </xf>
  </cellXfs>
  <cellStyles count="1">
    <cellStyle name="Normal" xfId="0" builtinId="0"/>
  </cellStyles>
  <dxfs count="7">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4</xdr:col>
      <xdr:colOff>1904</xdr:colOff>
      <xdr:row>2</xdr:row>
      <xdr:rowOff>187703</xdr:rowOff>
    </xdr:from>
    <xdr:ext cx="4137660" cy="2429410"/>
    <xdr:pic>
      <xdr:nvPicPr>
        <xdr:cNvPr id="2" name="Picture 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036944" y="789683"/>
          <a:ext cx="4137660" cy="242941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7</xdr:col>
      <xdr:colOff>7619</xdr:colOff>
      <xdr:row>3</xdr:row>
      <xdr:rowOff>6382</xdr:rowOff>
    </xdr:from>
    <xdr:to>
      <xdr:col>14</xdr:col>
      <xdr:colOff>162334</xdr:colOff>
      <xdr:row>18</xdr:row>
      <xdr:rowOff>22859</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74819" y="555022"/>
          <a:ext cx="4421915" cy="275967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10"/>
  <sheetViews>
    <sheetView tabSelected="1" workbookViewId="0">
      <selection activeCell="D20" sqref="D20"/>
    </sheetView>
  </sheetViews>
  <sheetFormatPr defaultRowHeight="15" x14ac:dyDescent="0.25"/>
  <cols>
    <col min="2" max="2" width="92.28515625" customWidth="1"/>
  </cols>
  <sheetData>
    <row r="2" spans="2:3" x14ac:dyDescent="0.25">
      <c r="B2" t="s">
        <v>57</v>
      </c>
    </row>
    <row r="4" spans="2:3" x14ac:dyDescent="0.25">
      <c r="B4" t="s">
        <v>58</v>
      </c>
    </row>
    <row r="6" spans="2:3" x14ac:dyDescent="0.25">
      <c r="B6" t="s">
        <v>60</v>
      </c>
      <c r="C6" s="14"/>
    </row>
    <row r="8" spans="2:3" x14ac:dyDescent="0.25">
      <c r="B8" t="s">
        <v>59</v>
      </c>
    </row>
    <row r="10" spans="2:3" ht="30" x14ac:dyDescent="0.25">
      <c r="B10" s="48" t="s">
        <v>61</v>
      </c>
    </row>
  </sheetData>
  <sheetProtection algorithmName="SHA-512" hashValue="VnCyjM1Nr3NmIbyycHecuMZiPe+vEY4yEMwjTJNlNX3T/ByXhQNPXEikb7VQhFg7AkOfDhOmU3kUFH/GIovcpQ==" saltValue="srx4UwE9wDQaFVILEArcr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4"/>
  <sheetViews>
    <sheetView workbookViewId="0">
      <selection activeCell="L30" sqref="L30"/>
    </sheetView>
  </sheetViews>
  <sheetFormatPr defaultRowHeight="15" x14ac:dyDescent="0.25"/>
  <cols>
    <col min="1" max="1" width="26.85546875" customWidth="1"/>
    <col min="6" max="6" width="3.7109375" style="5" customWidth="1"/>
    <col min="7" max="9" width="10.7109375" customWidth="1"/>
  </cols>
  <sheetData>
    <row r="1" spans="1:19" x14ac:dyDescent="0.25">
      <c r="A1" s="16" t="s">
        <v>10</v>
      </c>
      <c r="B1" s="2"/>
      <c r="C1" s="2"/>
      <c r="D1" s="2"/>
      <c r="E1" s="2"/>
      <c r="F1" s="2"/>
      <c r="G1" s="2"/>
      <c r="H1" s="2"/>
      <c r="I1" s="3"/>
    </row>
    <row r="2" spans="1:19" x14ac:dyDescent="0.25">
      <c r="A2" s="17" t="s">
        <v>11</v>
      </c>
      <c r="B2" s="5"/>
      <c r="C2" s="5"/>
      <c r="D2" s="5"/>
      <c r="E2" s="5"/>
      <c r="G2" s="5"/>
      <c r="H2" s="5"/>
      <c r="I2" s="6"/>
    </row>
    <row r="3" spans="1:19" x14ac:dyDescent="0.25">
      <c r="A3" s="18" t="s">
        <v>18</v>
      </c>
      <c r="B3" s="5"/>
      <c r="C3" s="5"/>
      <c r="D3" s="5"/>
      <c r="E3" s="5"/>
      <c r="G3" s="5"/>
      <c r="H3" s="5"/>
      <c r="I3" s="6"/>
    </row>
    <row r="4" spans="1:19" x14ac:dyDescent="0.25">
      <c r="A4" s="4"/>
      <c r="B4" s="5"/>
      <c r="C4" s="5"/>
      <c r="D4" s="5"/>
      <c r="E4" s="5"/>
      <c r="G4" s="5"/>
      <c r="H4" s="5"/>
      <c r="I4" s="6"/>
    </row>
    <row r="5" spans="1:19" x14ac:dyDescent="0.25">
      <c r="A5" s="28" t="s">
        <v>21</v>
      </c>
      <c r="B5" s="55"/>
      <c r="C5" s="55"/>
      <c r="D5" s="55"/>
      <c r="E5" s="55"/>
      <c r="G5" s="26" t="s">
        <v>22</v>
      </c>
      <c r="H5" s="58"/>
      <c r="I5" s="6"/>
    </row>
    <row r="6" spans="1:19" x14ac:dyDescent="0.25">
      <c r="A6" s="4"/>
      <c r="B6" s="5"/>
      <c r="C6" s="5"/>
      <c r="D6" s="5"/>
      <c r="E6" s="5"/>
      <c r="G6" s="5"/>
      <c r="H6" s="5"/>
      <c r="I6" s="6"/>
    </row>
    <row r="7" spans="1:19" x14ac:dyDescent="0.25">
      <c r="A7" s="25" t="s">
        <v>20</v>
      </c>
      <c r="B7" s="5"/>
      <c r="C7" s="5"/>
      <c r="D7" s="5"/>
      <c r="E7" s="5"/>
      <c r="G7" s="5"/>
      <c r="H7" s="5"/>
      <c r="I7" s="6"/>
    </row>
    <row r="8" spans="1:19" x14ac:dyDescent="0.25">
      <c r="A8" s="59" t="s">
        <v>15</v>
      </c>
      <c r="B8" s="5"/>
      <c r="C8" s="5"/>
      <c r="D8" s="5"/>
      <c r="E8" s="5"/>
      <c r="G8" s="26" t="s">
        <v>48</v>
      </c>
      <c r="H8" s="5">
        <f>SUM($I$11:$I$41)</f>
        <v>0</v>
      </c>
      <c r="I8" s="6" t="s">
        <v>6</v>
      </c>
    </row>
    <row r="9" spans="1:19" ht="15.75" thickBot="1" x14ac:dyDescent="0.3">
      <c r="A9" s="7"/>
      <c r="B9" s="8"/>
      <c r="C9" s="8"/>
      <c r="D9" s="8"/>
      <c r="E9" s="8"/>
      <c r="G9" s="8"/>
      <c r="H9" s="8"/>
      <c r="I9" s="9"/>
    </row>
    <row r="10" spans="1:19" ht="45" customHeight="1" x14ac:dyDescent="0.25">
      <c r="A10" s="29" t="s">
        <v>12</v>
      </c>
      <c r="B10" s="30" t="s">
        <v>13</v>
      </c>
      <c r="C10" s="30" t="s">
        <v>14</v>
      </c>
      <c r="D10" s="30" t="str">
        <f>IF($A$8="0.6 Depth","Velocity at 0.6 Depth","Velocity at 0.2 Depth")</f>
        <v>Velocity at 0.6 Depth</v>
      </c>
      <c r="E10" s="31" t="str">
        <f>IF($A$8="0.6 Depth"," ","Velocity at 0.8 Depth")</f>
        <v xml:space="preserve"> </v>
      </c>
      <c r="F10" s="52"/>
      <c r="G10" s="22" t="s">
        <v>16</v>
      </c>
      <c r="H10" s="23" t="s">
        <v>19</v>
      </c>
      <c r="I10" s="24" t="s">
        <v>17</v>
      </c>
    </row>
    <row r="11" spans="1:19" x14ac:dyDescent="0.25">
      <c r="A11" s="60"/>
      <c r="B11" s="61"/>
      <c r="C11" s="61"/>
      <c r="D11" s="61"/>
      <c r="E11" s="62"/>
      <c r="G11" s="19">
        <f>IF(ISTEXT(D11),0,IF(A8="0.6 Depth",D11,IF(SUM(D11:E11)=0,0,AVERAGE(D11:E11))))</f>
        <v>0</v>
      </c>
      <c r="H11" s="20">
        <f>IF(ISTEXT(B11),0,IF(ISTEXT(C11),0,B11*C11))</f>
        <v>0</v>
      </c>
      <c r="I11" s="21">
        <f>+G11*H11</f>
        <v>0</v>
      </c>
      <c r="K11" s="14"/>
      <c r="L11" s="15" t="s">
        <v>23</v>
      </c>
    </row>
    <row r="12" spans="1:19" x14ac:dyDescent="0.25">
      <c r="A12" s="60"/>
      <c r="B12" s="61"/>
      <c r="C12" s="61"/>
      <c r="D12" s="61"/>
      <c r="E12" s="62"/>
      <c r="G12" s="19">
        <f t="shared" ref="G12:G41" si="0">IF(ISTEXT(D12),0,IF(A9="0.6 Depth",D12,IF(SUM(D12:E12)=0,0,AVERAGE(D12:E12))))</f>
        <v>0</v>
      </c>
      <c r="H12" s="20">
        <f t="shared" ref="H12:H41" si="1">IF(ISTEXT(B12),0,IF(ISTEXT(C12),0,B12*C12))</f>
        <v>0</v>
      </c>
      <c r="I12" s="21">
        <f t="shared" ref="I12:I14" si="2">+G12*H12</f>
        <v>0</v>
      </c>
    </row>
    <row r="13" spans="1:19" ht="14.45" customHeight="1" x14ac:dyDescent="0.25">
      <c r="A13" s="60"/>
      <c r="B13" s="61"/>
      <c r="C13" s="61"/>
      <c r="D13" s="61"/>
      <c r="E13" s="62"/>
      <c r="G13" s="19">
        <f t="shared" si="0"/>
        <v>0</v>
      </c>
      <c r="H13" s="20">
        <f t="shared" si="1"/>
        <v>0</v>
      </c>
      <c r="I13" s="21">
        <f t="shared" si="2"/>
        <v>0</v>
      </c>
      <c r="K13" s="65" t="s">
        <v>49</v>
      </c>
      <c r="L13" s="65"/>
      <c r="M13" s="65"/>
      <c r="N13" s="65"/>
      <c r="O13" s="65"/>
      <c r="P13" s="65"/>
      <c r="Q13" s="65"/>
      <c r="R13" s="65"/>
      <c r="S13" s="65"/>
    </row>
    <row r="14" spans="1:19" x14ac:dyDescent="0.25">
      <c r="A14" s="60"/>
      <c r="B14" s="61"/>
      <c r="C14" s="61"/>
      <c r="D14" s="61"/>
      <c r="E14" s="62"/>
      <c r="G14" s="19">
        <f t="shared" si="0"/>
        <v>0</v>
      </c>
      <c r="H14" s="20">
        <f t="shared" si="1"/>
        <v>0</v>
      </c>
      <c r="I14" s="21">
        <f t="shared" si="2"/>
        <v>0</v>
      </c>
      <c r="K14" s="65"/>
      <c r="L14" s="65"/>
      <c r="M14" s="65"/>
      <c r="N14" s="65"/>
      <c r="O14" s="65"/>
      <c r="P14" s="65"/>
      <c r="Q14" s="65"/>
      <c r="R14" s="65"/>
      <c r="S14" s="65"/>
    </row>
    <row r="15" spans="1:19" x14ac:dyDescent="0.25">
      <c r="A15" s="60"/>
      <c r="B15" s="61"/>
      <c r="C15" s="61"/>
      <c r="D15" s="61"/>
      <c r="E15" s="62"/>
      <c r="G15" s="19">
        <f t="shared" si="0"/>
        <v>0</v>
      </c>
      <c r="H15" s="20">
        <f t="shared" si="1"/>
        <v>0</v>
      </c>
      <c r="I15" s="21">
        <f t="shared" ref="I15:I41" si="3">+G15*H15</f>
        <v>0</v>
      </c>
      <c r="K15" s="49"/>
      <c r="L15" s="47"/>
      <c r="M15" s="47"/>
      <c r="N15" s="47"/>
      <c r="O15" s="47"/>
      <c r="P15" s="47"/>
      <c r="Q15" s="47"/>
      <c r="R15" s="47"/>
      <c r="S15" s="47"/>
    </row>
    <row r="16" spans="1:19" x14ac:dyDescent="0.25">
      <c r="A16" s="60"/>
      <c r="B16" s="61"/>
      <c r="C16" s="61"/>
      <c r="D16" s="61"/>
      <c r="E16" s="62"/>
      <c r="G16" s="19">
        <f t="shared" si="0"/>
        <v>0</v>
      </c>
      <c r="H16" s="20">
        <f t="shared" si="1"/>
        <v>0</v>
      </c>
      <c r="I16" s="21">
        <f t="shared" si="3"/>
        <v>0</v>
      </c>
      <c r="K16" s="65" t="s">
        <v>50</v>
      </c>
      <c r="L16" s="65"/>
      <c r="M16" s="65"/>
      <c r="N16" s="65"/>
      <c r="O16" s="65"/>
      <c r="P16" s="65"/>
      <c r="Q16" s="65"/>
      <c r="R16" s="65"/>
      <c r="S16" s="65"/>
    </row>
    <row r="17" spans="1:19" x14ac:dyDescent="0.25">
      <c r="A17" s="60"/>
      <c r="B17" s="61"/>
      <c r="C17" s="61"/>
      <c r="D17" s="61"/>
      <c r="E17" s="62"/>
      <c r="G17" s="19">
        <f t="shared" si="0"/>
        <v>0</v>
      </c>
      <c r="H17" s="20">
        <f t="shared" si="1"/>
        <v>0</v>
      </c>
      <c r="I17" s="21">
        <f t="shared" si="3"/>
        <v>0</v>
      </c>
      <c r="K17" s="65"/>
      <c r="L17" s="65"/>
      <c r="M17" s="65"/>
      <c r="N17" s="65"/>
      <c r="O17" s="65"/>
      <c r="P17" s="65"/>
      <c r="Q17" s="65"/>
      <c r="R17" s="65"/>
      <c r="S17" s="65"/>
    </row>
    <row r="18" spans="1:19" x14ac:dyDescent="0.25">
      <c r="A18" s="60"/>
      <c r="B18" s="61"/>
      <c r="C18" s="61"/>
      <c r="D18" s="61"/>
      <c r="E18" s="62"/>
      <c r="G18" s="19">
        <f t="shared" si="0"/>
        <v>0</v>
      </c>
      <c r="H18" s="20">
        <f t="shared" si="1"/>
        <v>0</v>
      </c>
      <c r="I18" s="21">
        <f t="shared" si="3"/>
        <v>0</v>
      </c>
      <c r="K18" s="49"/>
    </row>
    <row r="19" spans="1:19" x14ac:dyDescent="0.25">
      <c r="A19" s="60"/>
      <c r="B19" s="61"/>
      <c r="C19" s="61"/>
      <c r="D19" s="61"/>
      <c r="E19" s="62"/>
      <c r="G19" s="19">
        <f t="shared" si="0"/>
        <v>0</v>
      </c>
      <c r="H19" s="20">
        <f t="shared" si="1"/>
        <v>0</v>
      </c>
      <c r="I19" s="21">
        <f t="shared" si="3"/>
        <v>0</v>
      </c>
      <c r="K19" s="65" t="s">
        <v>51</v>
      </c>
      <c r="L19" s="65"/>
      <c r="M19" s="65"/>
      <c r="N19" s="65"/>
      <c r="O19" s="65"/>
      <c r="P19" s="65"/>
      <c r="Q19" s="65"/>
      <c r="R19" s="65"/>
      <c r="S19" s="65"/>
    </row>
    <row r="20" spans="1:19" x14ac:dyDescent="0.25">
      <c r="A20" s="60"/>
      <c r="B20" s="61"/>
      <c r="C20" s="61"/>
      <c r="D20" s="61"/>
      <c r="E20" s="62"/>
      <c r="G20" s="19">
        <f t="shared" si="0"/>
        <v>0</v>
      </c>
      <c r="H20" s="20">
        <f t="shared" si="1"/>
        <v>0</v>
      </c>
      <c r="I20" s="21">
        <f t="shared" si="3"/>
        <v>0</v>
      </c>
      <c r="K20" s="65"/>
      <c r="L20" s="65"/>
      <c r="M20" s="65"/>
      <c r="N20" s="65"/>
      <c r="O20" s="65"/>
      <c r="P20" s="65"/>
      <c r="Q20" s="65"/>
      <c r="R20" s="65"/>
      <c r="S20" s="65"/>
    </row>
    <row r="21" spans="1:19" x14ac:dyDescent="0.25">
      <c r="A21" s="60"/>
      <c r="B21" s="61"/>
      <c r="C21" s="61"/>
      <c r="D21" s="61"/>
      <c r="E21" s="62"/>
      <c r="G21" s="19">
        <f t="shared" si="0"/>
        <v>0</v>
      </c>
      <c r="H21" s="20">
        <f t="shared" si="1"/>
        <v>0</v>
      </c>
      <c r="I21" s="21">
        <f t="shared" si="3"/>
        <v>0</v>
      </c>
    </row>
    <row r="22" spans="1:19" x14ac:dyDescent="0.25">
      <c r="A22" s="60"/>
      <c r="B22" s="61"/>
      <c r="C22" s="61"/>
      <c r="D22" s="61"/>
      <c r="E22" s="62"/>
      <c r="G22" s="19">
        <f t="shared" si="0"/>
        <v>0</v>
      </c>
      <c r="H22" s="20">
        <f t="shared" si="1"/>
        <v>0</v>
      </c>
      <c r="I22" s="21">
        <f t="shared" si="3"/>
        <v>0</v>
      </c>
    </row>
    <row r="23" spans="1:19" x14ac:dyDescent="0.25">
      <c r="A23" s="60"/>
      <c r="B23" s="61"/>
      <c r="C23" s="61"/>
      <c r="D23" s="61"/>
      <c r="E23" s="62"/>
      <c r="G23" s="19">
        <f t="shared" si="0"/>
        <v>0</v>
      </c>
      <c r="H23" s="20">
        <f t="shared" si="1"/>
        <v>0</v>
      </c>
      <c r="I23" s="21">
        <f t="shared" si="3"/>
        <v>0</v>
      </c>
    </row>
    <row r="24" spans="1:19" x14ac:dyDescent="0.25">
      <c r="A24" s="60"/>
      <c r="B24" s="61"/>
      <c r="C24" s="61"/>
      <c r="D24" s="61"/>
      <c r="E24" s="62"/>
      <c r="G24" s="19">
        <f t="shared" si="0"/>
        <v>0</v>
      </c>
      <c r="H24" s="20">
        <f t="shared" si="1"/>
        <v>0</v>
      </c>
      <c r="I24" s="21">
        <f t="shared" si="3"/>
        <v>0</v>
      </c>
    </row>
    <row r="25" spans="1:19" x14ac:dyDescent="0.25">
      <c r="A25" s="60"/>
      <c r="B25" s="61"/>
      <c r="C25" s="61"/>
      <c r="D25" s="61"/>
      <c r="E25" s="62"/>
      <c r="G25" s="19">
        <f t="shared" si="0"/>
        <v>0</v>
      </c>
      <c r="H25" s="20">
        <f t="shared" si="1"/>
        <v>0</v>
      </c>
      <c r="I25" s="21">
        <f t="shared" si="3"/>
        <v>0</v>
      </c>
    </row>
    <row r="26" spans="1:19" x14ac:dyDescent="0.25">
      <c r="A26" s="60"/>
      <c r="B26" s="61"/>
      <c r="C26" s="61"/>
      <c r="D26" s="61"/>
      <c r="E26" s="62"/>
      <c r="G26" s="19">
        <f t="shared" si="0"/>
        <v>0</v>
      </c>
      <c r="H26" s="20">
        <f t="shared" si="1"/>
        <v>0</v>
      </c>
      <c r="I26" s="21">
        <f t="shared" si="3"/>
        <v>0</v>
      </c>
    </row>
    <row r="27" spans="1:19" x14ac:dyDescent="0.25">
      <c r="A27" s="60"/>
      <c r="B27" s="61"/>
      <c r="C27" s="61"/>
      <c r="D27" s="61"/>
      <c r="E27" s="62"/>
      <c r="G27" s="19">
        <f t="shared" si="0"/>
        <v>0</v>
      </c>
      <c r="H27" s="20">
        <f t="shared" si="1"/>
        <v>0</v>
      </c>
      <c r="I27" s="21">
        <f t="shared" si="3"/>
        <v>0</v>
      </c>
    </row>
    <row r="28" spans="1:19" x14ac:dyDescent="0.25">
      <c r="A28" s="61"/>
      <c r="B28" s="61"/>
      <c r="C28" s="61"/>
      <c r="D28" s="61"/>
      <c r="E28" s="62"/>
      <c r="G28" s="19">
        <f t="shared" si="0"/>
        <v>0</v>
      </c>
      <c r="H28" s="20">
        <f t="shared" si="1"/>
        <v>0</v>
      </c>
      <c r="I28" s="21">
        <f t="shared" si="3"/>
        <v>0</v>
      </c>
    </row>
    <row r="29" spans="1:19" x14ac:dyDescent="0.25">
      <c r="A29" s="61"/>
      <c r="B29" s="61"/>
      <c r="C29" s="61"/>
      <c r="D29" s="61"/>
      <c r="E29" s="62"/>
      <c r="G29" s="19">
        <f t="shared" si="0"/>
        <v>0</v>
      </c>
      <c r="H29" s="20">
        <f t="shared" si="1"/>
        <v>0</v>
      </c>
      <c r="I29" s="21">
        <f t="shared" si="3"/>
        <v>0</v>
      </c>
    </row>
    <row r="30" spans="1:19" x14ac:dyDescent="0.25">
      <c r="A30" s="61"/>
      <c r="B30" s="61"/>
      <c r="C30" s="61"/>
      <c r="D30" s="61"/>
      <c r="E30" s="62"/>
      <c r="G30" s="19">
        <f t="shared" si="0"/>
        <v>0</v>
      </c>
      <c r="H30" s="20">
        <f t="shared" si="1"/>
        <v>0</v>
      </c>
      <c r="I30" s="21">
        <f t="shared" si="3"/>
        <v>0</v>
      </c>
    </row>
    <row r="31" spans="1:19" x14ac:dyDescent="0.25">
      <c r="A31" s="61" t="s">
        <v>47</v>
      </c>
      <c r="B31" s="61" t="s">
        <v>47</v>
      </c>
      <c r="C31" s="61" t="s">
        <v>47</v>
      </c>
      <c r="D31" s="61" t="s">
        <v>47</v>
      </c>
      <c r="E31" s="62" t="str">
        <f>IF($A$8="Two point method (0.2 - 0.8)","N/A"," ")</f>
        <v xml:space="preserve"> </v>
      </c>
      <c r="G31" s="19">
        <f t="shared" si="0"/>
        <v>0</v>
      </c>
      <c r="H31" s="20">
        <f t="shared" si="1"/>
        <v>0</v>
      </c>
      <c r="I31" s="21">
        <f t="shared" si="3"/>
        <v>0</v>
      </c>
    </row>
    <row r="32" spans="1:19" x14ac:dyDescent="0.25">
      <c r="A32" s="61" t="s">
        <v>47</v>
      </c>
      <c r="B32" s="61" t="s">
        <v>47</v>
      </c>
      <c r="C32" s="61" t="s">
        <v>47</v>
      </c>
      <c r="D32" s="61" t="s">
        <v>47</v>
      </c>
      <c r="E32" s="62" t="str">
        <f t="shared" ref="E32:E41" si="4">IF($A$8="Two point method (0.2 - 0.8)","N/A"," ")</f>
        <v xml:space="preserve"> </v>
      </c>
      <c r="G32" s="19">
        <f t="shared" si="0"/>
        <v>0</v>
      </c>
      <c r="H32" s="20">
        <f t="shared" si="1"/>
        <v>0</v>
      </c>
      <c r="I32" s="21">
        <f t="shared" si="3"/>
        <v>0</v>
      </c>
    </row>
    <row r="33" spans="1:9" x14ac:dyDescent="0.25">
      <c r="A33" s="61" t="s">
        <v>47</v>
      </c>
      <c r="B33" s="61" t="s">
        <v>47</v>
      </c>
      <c r="C33" s="61" t="s">
        <v>47</v>
      </c>
      <c r="D33" s="61" t="s">
        <v>47</v>
      </c>
      <c r="E33" s="62" t="str">
        <f t="shared" si="4"/>
        <v xml:space="preserve"> </v>
      </c>
      <c r="G33" s="19">
        <f t="shared" si="0"/>
        <v>0</v>
      </c>
      <c r="H33" s="20">
        <f t="shared" si="1"/>
        <v>0</v>
      </c>
      <c r="I33" s="21">
        <f t="shared" si="3"/>
        <v>0</v>
      </c>
    </row>
    <row r="34" spans="1:9" x14ac:dyDescent="0.25">
      <c r="A34" s="61" t="s">
        <v>47</v>
      </c>
      <c r="B34" s="61" t="s">
        <v>47</v>
      </c>
      <c r="C34" s="61" t="s">
        <v>47</v>
      </c>
      <c r="D34" s="61" t="s">
        <v>47</v>
      </c>
      <c r="E34" s="62" t="str">
        <f t="shared" si="4"/>
        <v xml:space="preserve"> </v>
      </c>
      <c r="G34" s="19">
        <f t="shared" si="0"/>
        <v>0</v>
      </c>
      <c r="H34" s="20">
        <f t="shared" si="1"/>
        <v>0</v>
      </c>
      <c r="I34" s="21">
        <f t="shared" si="3"/>
        <v>0</v>
      </c>
    </row>
    <row r="35" spans="1:9" x14ac:dyDescent="0.25">
      <c r="A35" s="61" t="s">
        <v>47</v>
      </c>
      <c r="B35" s="61" t="s">
        <v>47</v>
      </c>
      <c r="C35" s="61" t="s">
        <v>47</v>
      </c>
      <c r="D35" s="61" t="s">
        <v>47</v>
      </c>
      <c r="E35" s="62" t="str">
        <f t="shared" si="4"/>
        <v xml:space="preserve"> </v>
      </c>
      <c r="G35" s="19">
        <f t="shared" si="0"/>
        <v>0</v>
      </c>
      <c r="H35" s="20">
        <f t="shared" si="1"/>
        <v>0</v>
      </c>
      <c r="I35" s="21">
        <f t="shared" si="3"/>
        <v>0</v>
      </c>
    </row>
    <row r="36" spans="1:9" x14ac:dyDescent="0.25">
      <c r="A36" s="61" t="s">
        <v>47</v>
      </c>
      <c r="B36" s="61" t="s">
        <v>47</v>
      </c>
      <c r="C36" s="61" t="s">
        <v>47</v>
      </c>
      <c r="D36" s="61" t="s">
        <v>47</v>
      </c>
      <c r="E36" s="62" t="str">
        <f t="shared" si="4"/>
        <v xml:space="preserve"> </v>
      </c>
      <c r="G36" s="19">
        <f t="shared" si="0"/>
        <v>0</v>
      </c>
      <c r="H36" s="20">
        <f t="shared" si="1"/>
        <v>0</v>
      </c>
      <c r="I36" s="21">
        <f t="shared" si="3"/>
        <v>0</v>
      </c>
    </row>
    <row r="37" spans="1:9" x14ac:dyDescent="0.25">
      <c r="A37" s="61" t="s">
        <v>47</v>
      </c>
      <c r="B37" s="61" t="s">
        <v>47</v>
      </c>
      <c r="C37" s="61" t="s">
        <v>47</v>
      </c>
      <c r="D37" s="61" t="s">
        <v>47</v>
      </c>
      <c r="E37" s="62" t="str">
        <f t="shared" si="4"/>
        <v xml:space="preserve"> </v>
      </c>
      <c r="G37" s="19">
        <f t="shared" si="0"/>
        <v>0</v>
      </c>
      <c r="H37" s="20">
        <f t="shared" si="1"/>
        <v>0</v>
      </c>
      <c r="I37" s="21">
        <f t="shared" si="3"/>
        <v>0</v>
      </c>
    </row>
    <row r="38" spans="1:9" x14ac:dyDescent="0.25">
      <c r="A38" s="61" t="s">
        <v>47</v>
      </c>
      <c r="B38" s="61" t="s">
        <v>47</v>
      </c>
      <c r="C38" s="61" t="s">
        <v>47</v>
      </c>
      <c r="D38" s="61" t="s">
        <v>47</v>
      </c>
      <c r="E38" s="62" t="str">
        <f t="shared" si="4"/>
        <v xml:space="preserve"> </v>
      </c>
      <c r="G38" s="19">
        <f t="shared" si="0"/>
        <v>0</v>
      </c>
      <c r="H38" s="20">
        <f t="shared" si="1"/>
        <v>0</v>
      </c>
      <c r="I38" s="21">
        <f t="shared" si="3"/>
        <v>0</v>
      </c>
    </row>
    <row r="39" spans="1:9" x14ac:dyDescent="0.25">
      <c r="A39" s="61" t="s">
        <v>47</v>
      </c>
      <c r="B39" s="61" t="s">
        <v>47</v>
      </c>
      <c r="C39" s="61" t="s">
        <v>47</v>
      </c>
      <c r="D39" s="61" t="s">
        <v>47</v>
      </c>
      <c r="E39" s="62" t="str">
        <f t="shared" si="4"/>
        <v xml:space="preserve"> </v>
      </c>
      <c r="G39" s="19">
        <f t="shared" si="0"/>
        <v>0</v>
      </c>
      <c r="H39" s="20">
        <f t="shared" si="1"/>
        <v>0</v>
      </c>
      <c r="I39" s="21">
        <f t="shared" si="3"/>
        <v>0</v>
      </c>
    </row>
    <row r="40" spans="1:9" x14ac:dyDescent="0.25">
      <c r="A40" s="61" t="s">
        <v>47</v>
      </c>
      <c r="B40" s="61" t="s">
        <v>47</v>
      </c>
      <c r="C40" s="61" t="s">
        <v>47</v>
      </c>
      <c r="D40" s="61" t="s">
        <v>47</v>
      </c>
      <c r="E40" s="62" t="str">
        <f t="shared" si="4"/>
        <v xml:space="preserve"> </v>
      </c>
      <c r="G40" s="19">
        <f t="shared" si="0"/>
        <v>0</v>
      </c>
      <c r="H40" s="20">
        <f t="shared" si="1"/>
        <v>0</v>
      </c>
      <c r="I40" s="21">
        <f t="shared" si="3"/>
        <v>0</v>
      </c>
    </row>
    <row r="41" spans="1:9" ht="15.75" thickBot="1" x14ac:dyDescent="0.3">
      <c r="A41" s="63" t="s">
        <v>47</v>
      </c>
      <c r="B41" s="63" t="s">
        <v>47</v>
      </c>
      <c r="C41" s="63" t="s">
        <v>47</v>
      </c>
      <c r="D41" s="63" t="s">
        <v>47</v>
      </c>
      <c r="E41" s="64" t="str">
        <f t="shared" si="4"/>
        <v xml:space="preserve"> </v>
      </c>
      <c r="G41" s="50">
        <f t="shared" si="0"/>
        <v>0</v>
      </c>
      <c r="H41" s="51">
        <f t="shared" si="1"/>
        <v>0</v>
      </c>
      <c r="I41" s="32">
        <f t="shared" si="3"/>
        <v>0</v>
      </c>
    </row>
    <row r="43" spans="1:9" x14ac:dyDescent="0.25">
      <c r="H43" s="27"/>
    </row>
    <row r="44" spans="1:9" ht="14.45" customHeight="1" x14ac:dyDescent="0.25"/>
  </sheetData>
  <sheetProtection algorithmName="SHA-512" hashValue="s3nwsnLINZnPIfeNemdzLXYmmvIb37RF58ZDvNRf3aX//aUBoE5cvMBQzaKOJU+cxuBHqV3McaMtWacM0KFK4Q==" saltValue="mmjNP5CRtHXQMp0Wh9hRxw==" spinCount="100000" sheet="1" objects="1" scenarios="1"/>
  <mergeCells count="3">
    <mergeCell ref="K13:S14"/>
    <mergeCell ref="K16:S17"/>
    <mergeCell ref="K19:S20"/>
  </mergeCells>
  <conditionalFormatting sqref="E11:E41">
    <cfRule type="expression" dxfId="6" priority="1">
      <formula>$E$10&lt;&gt;" "</formula>
    </cfRule>
  </conditionalFormatting>
  <dataValidations count="1">
    <dataValidation type="list" allowBlank="1" showInputMessage="1" showErrorMessage="1" sqref="A8" xr:uid="{00000000-0002-0000-0100-000000000000}">
      <formula1>"0.6 Depth,Two point method (0.2 - 0.8)"</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29"/>
  <sheetViews>
    <sheetView workbookViewId="0">
      <selection activeCell="B3" sqref="B3:C3"/>
    </sheetView>
  </sheetViews>
  <sheetFormatPr defaultRowHeight="15" x14ac:dyDescent="0.25"/>
  <cols>
    <col min="2" max="2" width="3.7109375" customWidth="1"/>
    <col min="3" max="3" width="44.42578125" customWidth="1"/>
    <col min="4" max="4" width="12.28515625" customWidth="1"/>
    <col min="5" max="5" width="4.7109375" customWidth="1"/>
    <col min="6" max="6" width="3.7109375" customWidth="1"/>
    <col min="8" max="8" width="8.85546875" customWidth="1"/>
  </cols>
  <sheetData>
    <row r="2" spans="2:8" x14ac:dyDescent="0.25">
      <c r="B2" s="67" t="s">
        <v>0</v>
      </c>
      <c r="C2" s="67"/>
    </row>
    <row r="3" spans="2:8" x14ac:dyDescent="0.25">
      <c r="B3" s="66" t="s">
        <v>2</v>
      </c>
      <c r="C3" s="66"/>
    </row>
    <row r="5" spans="2:8" ht="15.75" thickBot="1" x14ac:dyDescent="0.3"/>
    <row r="6" spans="2:8" x14ac:dyDescent="0.25">
      <c r="B6" s="1"/>
      <c r="C6" s="2"/>
      <c r="D6" s="72"/>
      <c r="E6" s="3"/>
    </row>
    <row r="7" spans="2:8" x14ac:dyDescent="0.25">
      <c r="B7" s="4" t="str">
        <f>IF($B$3="Parshall Flume","Gage Reading (Ha)","Head")</f>
        <v>Gage Reading (Ha)</v>
      </c>
      <c r="C7" s="5"/>
      <c r="D7" s="55"/>
      <c r="E7" s="6" t="s">
        <v>7</v>
      </c>
      <c r="G7" s="14"/>
      <c r="H7" s="15" t="s">
        <v>23</v>
      </c>
    </row>
    <row r="8" spans="2:8" x14ac:dyDescent="0.25">
      <c r="B8" s="4" t="str">
        <f>IF($B$3="Rectangular Contracted Weir","Crest Length",IF($B$3="Cipolletti Weir","Crest Length"," "))</f>
        <v xml:space="preserve"> </v>
      </c>
      <c r="C8" s="5"/>
      <c r="D8" s="56"/>
      <c r="E8" s="6" t="str">
        <f>IF($B$3="Rectangular Contracted Weir","ft",IF($B$3="Cipolletti Weir","ft"," "))</f>
        <v xml:space="preserve"> </v>
      </c>
    </row>
    <row r="9" spans="2:8" x14ac:dyDescent="0.25">
      <c r="B9" s="4" t="str">
        <f>IF($B$3="Parshall Flume","Throat Width"," ")</f>
        <v>Throat Width</v>
      </c>
      <c r="C9" s="5"/>
      <c r="D9" s="56"/>
      <c r="E9" s="6" t="str">
        <f>IF($B$3="Parshall Flume","ft"," ")</f>
        <v>ft</v>
      </c>
    </row>
    <row r="10" spans="2:8" x14ac:dyDescent="0.25">
      <c r="B10" s="4" t="str">
        <f>IF($B$3="Rectangular Submerged Orifice","Orifice Area"," ")</f>
        <v xml:space="preserve"> </v>
      </c>
      <c r="C10" s="5"/>
      <c r="D10" s="56"/>
      <c r="E10" s="6" t="str">
        <f>IF($B$3="Rectangular Submerged Orifice","ft2"," ")</f>
        <v xml:space="preserve"> </v>
      </c>
    </row>
    <row r="11" spans="2:8" x14ac:dyDescent="0.25">
      <c r="B11" s="4" t="str">
        <f>IF($B$3="Trapezoidal Flume","Bottom/Floor Width"," ")</f>
        <v xml:space="preserve"> </v>
      </c>
      <c r="C11" s="5"/>
      <c r="D11" s="56"/>
      <c r="E11" s="6" t="str">
        <f>IF($B$3="Trapezoidal Flume","ft"," ")</f>
        <v xml:space="preserve"> </v>
      </c>
    </row>
    <row r="12" spans="2:8" x14ac:dyDescent="0.25">
      <c r="B12" s="4" t="str">
        <f>IF(B3="Parshall Flume","Free Flow or Submerged Conditions",IF(B3="Trapezoidal Flume","Free Flow or Submerged Conditions"," "))</f>
        <v>Free Flow or Submerged Conditions</v>
      </c>
      <c r="C12" s="5"/>
      <c r="D12" s="57"/>
      <c r="E12" s="6"/>
    </row>
    <row r="13" spans="2:8" ht="15.75" thickBot="1" x14ac:dyDescent="0.3">
      <c r="B13" s="7"/>
      <c r="C13" s="8" t="str">
        <f>IF($D$12="Submerged", "Hb"," ")</f>
        <v xml:space="preserve"> </v>
      </c>
      <c r="D13" s="73"/>
      <c r="E13" s="9" t="str">
        <f>IF($D$12="Submerged", "ft"," ")</f>
        <v xml:space="preserve"> </v>
      </c>
    </row>
    <row r="14" spans="2:8" ht="15.75" thickBot="1" x14ac:dyDescent="0.3"/>
    <row r="15" spans="2:8" x14ac:dyDescent="0.25">
      <c r="B15" s="1" t="s">
        <v>9</v>
      </c>
      <c r="C15" s="2"/>
      <c r="D15" s="2"/>
      <c r="E15" s="3"/>
    </row>
    <row r="16" spans="2:8" x14ac:dyDescent="0.25">
      <c r="B16" s="4"/>
      <c r="C16" s="5"/>
      <c r="D16" s="5"/>
      <c r="E16" s="6"/>
    </row>
    <row r="17" spans="2:7" ht="14.45" customHeight="1" x14ac:dyDescent="0.25">
      <c r="B17" s="13" t="s">
        <v>2</v>
      </c>
      <c r="C17" s="12"/>
      <c r="D17" s="10">
        <f>IF($B$3="Parshall Flume",IF(SUM(D7,D9)=0,0,IF($D$9=3/12,0.992*$D$7^1.547,IF($D$9=6/12,2.06*$D$7^1.58,IF($D$9=9/12,3.07*$D$7^1.53,IF($D$9&gt;=10,(3.6875*$D$9+2.5)*$D$7^1.6,4*$D$9*$D$7^(1.522*($D$9^0.026))))))),"-----")</f>
        <v>0</v>
      </c>
      <c r="E17" s="6" t="s">
        <v>6</v>
      </c>
      <c r="G17" t="str">
        <f>IF($B$3="Parshall Flume",IF($D$12="Submerged","Needs to be corrected for submerged conditions.  Regional Office staff will make this correction."," ")," ")</f>
        <v xml:space="preserve"> </v>
      </c>
    </row>
    <row r="18" spans="2:7" x14ac:dyDescent="0.25">
      <c r="B18" s="4"/>
      <c r="C18" s="5"/>
      <c r="D18" s="5"/>
      <c r="E18" s="6"/>
    </row>
    <row r="19" spans="2:7" x14ac:dyDescent="0.25">
      <c r="B19" s="4" t="s">
        <v>5</v>
      </c>
      <c r="C19" s="5"/>
      <c r="D19" s="10" t="str">
        <f>IF($B$3="Trapezoidal Flume",IF($D$7=0,0,IF($D$11=1,1.36*$D$7^2.5+0.37*$D$7+0.05,1.32*$D$7^2.5+0.82*$D$7^1.5+0.19)),"-----")</f>
        <v>-----</v>
      </c>
      <c r="E19" s="6" t="s">
        <v>6</v>
      </c>
      <c r="G19" t="str">
        <f>IF($B$3="Trapezoidal Flume",IF($D$12="Submerged","Needs to be corrected for submerged conditions.  Regional Office staff will make this correction."," ")," ")</f>
        <v xml:space="preserve"> </v>
      </c>
    </row>
    <row r="20" spans="2:7" x14ac:dyDescent="0.25">
      <c r="B20" s="4"/>
      <c r="C20" s="5"/>
      <c r="D20" s="5"/>
      <c r="E20" s="6"/>
    </row>
    <row r="21" spans="2:7" x14ac:dyDescent="0.25">
      <c r="B21" s="4" t="s">
        <v>1</v>
      </c>
      <c r="C21" s="5"/>
      <c r="D21" s="10" t="str">
        <f>IF($B$3="Rectangular Contracted Weir",3.247*$D$8*$D$7^1.48-((0.566*$D$8^1.9)/(1+2*$D$8^1.8)*$D$7^1.9),"-----")</f>
        <v>-----</v>
      </c>
      <c r="E21" s="6" t="s">
        <v>6</v>
      </c>
    </row>
    <row r="22" spans="2:7" x14ac:dyDescent="0.25">
      <c r="B22" s="4"/>
      <c r="C22" s="5"/>
      <c r="D22" s="5"/>
      <c r="E22" s="6"/>
    </row>
    <row r="23" spans="2:7" x14ac:dyDescent="0.25">
      <c r="B23" s="4" t="s">
        <v>3</v>
      </c>
      <c r="C23" s="5"/>
      <c r="D23" s="10" t="str">
        <f>IF($B$3="Cipolletti Weir",(3.247*$D$8*$D$7^1.48-((0.566*$D$8^1.9)/(1+2*$D$8^1.8)*$D$7^1.9))+(0.609*$D$7^2.5),"-----")</f>
        <v>-----</v>
      </c>
      <c r="E23" s="6" t="s">
        <v>6</v>
      </c>
    </row>
    <row r="24" spans="2:7" x14ac:dyDescent="0.25">
      <c r="B24" s="4"/>
      <c r="C24" s="5"/>
      <c r="D24" s="5"/>
      <c r="E24" s="6"/>
    </row>
    <row r="25" spans="2:7" x14ac:dyDescent="0.25">
      <c r="B25" s="4" t="s">
        <v>8</v>
      </c>
      <c r="C25" s="5"/>
      <c r="D25" s="10" t="str">
        <f>IF($B$3="90 Degree Triangular or V-Notch Weir",2.49*$D$7^2.48,"-----")</f>
        <v>-----</v>
      </c>
      <c r="E25" s="6" t="s">
        <v>6</v>
      </c>
    </row>
    <row r="26" spans="2:7" x14ac:dyDescent="0.25">
      <c r="B26" s="4"/>
      <c r="C26" s="5"/>
      <c r="D26" s="5"/>
      <c r="E26" s="6"/>
    </row>
    <row r="27" spans="2:7" ht="15.75" thickBot="1" x14ac:dyDescent="0.3">
      <c r="B27" s="7" t="s">
        <v>4</v>
      </c>
      <c r="C27" s="8"/>
      <c r="D27" s="11" t="str">
        <f>IF($B$3="Rectangular Submerged Orifice",0.61*D10*(2*32.2*D7)^0.5,"-----")</f>
        <v>-----</v>
      </c>
      <c r="E27" s="9" t="s">
        <v>6</v>
      </c>
    </row>
    <row r="28" spans="2:7" x14ac:dyDescent="0.25">
      <c r="B28" s="5"/>
      <c r="C28" s="5"/>
      <c r="D28" s="5"/>
      <c r="E28" s="5"/>
    </row>
    <row r="29" spans="2:7" x14ac:dyDescent="0.25">
      <c r="B29" t="s">
        <v>24</v>
      </c>
    </row>
  </sheetData>
  <sheetProtection algorithmName="SHA-512" hashValue="sQPcmMyh8X4n1yhvcNJ7uywBYd5l6xudz4rDL+BcE+ibeougGIyZXDnbq99pBw8e2xWnGYM66Dgmfp02C4fDdQ==" saltValue="ys+TUM+m4RNGIRq3Jf4FYg==" spinCount="100000" sheet="1" objects="1" scenarios="1"/>
  <mergeCells count="2">
    <mergeCell ref="B3:C3"/>
    <mergeCell ref="B2:C2"/>
  </mergeCells>
  <conditionalFormatting sqref="D7">
    <cfRule type="expression" priority="12">
      <formula>"$B$8&lt;&gt;"" """</formula>
    </cfRule>
  </conditionalFormatting>
  <conditionalFormatting sqref="D8">
    <cfRule type="expression" dxfId="5" priority="7">
      <formula>$B$8&lt;&gt;" "</formula>
    </cfRule>
    <cfRule type="expression" priority="11">
      <formula>"$B$9&lt;&gt;"" """</formula>
    </cfRule>
  </conditionalFormatting>
  <conditionalFormatting sqref="D9">
    <cfRule type="expression" dxfId="4" priority="6">
      <formula>$B$9&lt;&gt;" "</formula>
    </cfRule>
  </conditionalFormatting>
  <conditionalFormatting sqref="D10">
    <cfRule type="expression" dxfId="3" priority="5">
      <formula>$B$10&lt;&gt;" "</formula>
    </cfRule>
  </conditionalFormatting>
  <conditionalFormatting sqref="D11">
    <cfRule type="expression" dxfId="2" priority="4">
      <formula>$B$11&lt;&gt;" "</formula>
    </cfRule>
  </conditionalFormatting>
  <conditionalFormatting sqref="D12">
    <cfRule type="expression" dxfId="1" priority="3">
      <formula>$B$12&lt;&gt;" "</formula>
    </cfRule>
  </conditionalFormatting>
  <conditionalFormatting sqref="D13">
    <cfRule type="expression" dxfId="0" priority="2">
      <formula>$C$13&lt;&gt;" "</formula>
    </cfRule>
  </conditionalFormatting>
  <dataValidations count="3">
    <dataValidation type="list" allowBlank="1" showInputMessage="1" showErrorMessage="1" sqref="D11" xr:uid="{00000000-0002-0000-0200-000000000000}">
      <formula1>"1,2"</formula1>
    </dataValidation>
    <dataValidation type="list" allowBlank="1" showInputMessage="1" showErrorMessage="1" sqref="D12" xr:uid="{00000000-0002-0000-0200-000001000000}">
      <formula1>"Free Flow,Submerged"</formula1>
    </dataValidation>
    <dataValidation type="list" allowBlank="1" showInputMessage="1" showErrorMessage="1" sqref="B3:C3" xr:uid="{00000000-0002-0000-0200-000002000000}">
      <formula1>"Parshall Flume,Trapezoidal Flume,Rectangular Contracted Weir,Cipolletti Weir,90 Degree Triangular or V-Notch Weir,Rectangular Submerged Orifice"</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3"/>
  <sheetViews>
    <sheetView workbookViewId="0">
      <selection activeCell="M29" sqref="M29"/>
    </sheetView>
  </sheetViews>
  <sheetFormatPr defaultRowHeight="15" x14ac:dyDescent="0.25"/>
  <cols>
    <col min="1" max="1" width="38" style="34" customWidth="1"/>
    <col min="2" max="2" width="22.7109375" customWidth="1"/>
    <col min="3" max="3" width="22.42578125" bestFit="1" customWidth="1"/>
    <col min="4" max="4" width="4.7109375" customWidth="1"/>
    <col min="5" max="6" width="8.85546875" customWidth="1"/>
    <col min="11" max="11" width="8.85546875" customWidth="1"/>
    <col min="12" max="12" width="4.7109375" customWidth="1"/>
    <col min="13" max="14" width="17" customWidth="1"/>
  </cols>
  <sheetData>
    <row r="1" spans="1:14" ht="33" customHeight="1" x14ac:dyDescent="0.25">
      <c r="B1" s="36" t="s">
        <v>36</v>
      </c>
      <c r="C1" s="36" t="s">
        <v>35</v>
      </c>
    </row>
    <row r="2" spans="1:14" x14ac:dyDescent="0.25">
      <c r="A2" s="37" t="s">
        <v>33</v>
      </c>
      <c r="B2" s="53"/>
      <c r="C2" s="53"/>
      <c r="E2" s="14"/>
      <c r="F2" s="15" t="s">
        <v>23</v>
      </c>
    </row>
    <row r="3" spans="1:14" ht="15.75" thickBot="1" x14ac:dyDescent="0.3">
      <c r="A3" s="37" t="s">
        <v>30</v>
      </c>
      <c r="B3" s="53"/>
      <c r="C3" s="53"/>
    </row>
    <row r="4" spans="1:14" x14ac:dyDescent="0.25">
      <c r="A4" s="37" t="s">
        <v>29</v>
      </c>
      <c r="B4" s="53"/>
      <c r="C4" s="53"/>
      <c r="M4" s="68" t="s">
        <v>34</v>
      </c>
      <c r="N4" s="69"/>
    </row>
    <row r="5" spans="1:14" x14ac:dyDescent="0.25">
      <c r="A5" s="38"/>
      <c r="B5" s="35"/>
      <c r="C5" s="35"/>
      <c r="M5" s="19" t="s">
        <v>32</v>
      </c>
      <c r="N5" s="21" t="s">
        <v>31</v>
      </c>
    </row>
    <row r="6" spans="1:14" x14ac:dyDescent="0.25">
      <c r="A6" s="38"/>
      <c r="B6" s="35" t="s">
        <v>39</v>
      </c>
      <c r="C6" s="35" t="s">
        <v>40</v>
      </c>
      <c r="M6" s="42" t="s">
        <v>62</v>
      </c>
      <c r="N6" s="40">
        <v>0.66</v>
      </c>
    </row>
    <row r="7" spans="1:14" x14ac:dyDescent="0.25">
      <c r="A7" s="37" t="s">
        <v>37</v>
      </c>
      <c r="B7" s="53"/>
      <c r="C7" s="53"/>
      <c r="M7" s="42">
        <v>1</v>
      </c>
      <c r="N7" s="40">
        <v>0.66</v>
      </c>
    </row>
    <row r="8" spans="1:14" x14ac:dyDescent="0.25">
      <c r="A8" s="37" t="s">
        <v>38</v>
      </c>
      <c r="B8" s="53"/>
      <c r="C8" s="53"/>
      <c r="M8" s="39">
        <v>2</v>
      </c>
      <c r="N8" s="40">
        <v>0.68</v>
      </c>
    </row>
    <row r="9" spans="1:14" x14ac:dyDescent="0.25">
      <c r="A9" s="37"/>
      <c r="B9" s="35"/>
      <c r="C9" s="35"/>
      <c r="M9" s="39">
        <v>3</v>
      </c>
      <c r="N9" s="41">
        <v>0.7</v>
      </c>
    </row>
    <row r="10" spans="1:14" x14ac:dyDescent="0.25">
      <c r="A10" s="37"/>
      <c r="B10" s="35" t="s">
        <v>39</v>
      </c>
      <c r="C10" s="35" t="s">
        <v>40</v>
      </c>
      <c r="M10" s="39">
        <v>4</v>
      </c>
      <c r="N10" s="41">
        <v>0.72</v>
      </c>
    </row>
    <row r="11" spans="1:14" x14ac:dyDescent="0.25">
      <c r="A11" s="37" t="s">
        <v>26</v>
      </c>
      <c r="B11" s="53"/>
      <c r="C11" s="53"/>
      <c r="M11" s="39">
        <v>5</v>
      </c>
      <c r="N11" s="41">
        <v>0.74</v>
      </c>
    </row>
    <row r="12" spans="1:14" x14ac:dyDescent="0.25">
      <c r="A12" s="37"/>
      <c r="B12" s="35"/>
      <c r="C12" s="35"/>
      <c r="M12" s="39">
        <v>6</v>
      </c>
      <c r="N12" s="41">
        <v>0.76</v>
      </c>
    </row>
    <row r="13" spans="1:14" x14ac:dyDescent="0.25">
      <c r="A13" s="37"/>
      <c r="B13" s="35"/>
      <c r="C13" s="35"/>
      <c r="M13" s="39">
        <v>9</v>
      </c>
      <c r="N13" s="41">
        <v>0.77</v>
      </c>
    </row>
    <row r="14" spans="1:14" x14ac:dyDescent="0.25">
      <c r="A14" s="37"/>
      <c r="B14" s="35"/>
      <c r="C14" s="35"/>
      <c r="M14" s="39">
        <v>12</v>
      </c>
      <c r="N14" s="41">
        <v>0.78</v>
      </c>
    </row>
    <row r="15" spans="1:14" x14ac:dyDescent="0.25">
      <c r="A15" s="37" t="s">
        <v>28</v>
      </c>
      <c r="B15" s="35" t="e">
        <f>AVERAGE($B$2:$B$4)/AVERAGE($C$2:$C$4)</f>
        <v>#DIV/0!</v>
      </c>
      <c r="C15" s="35"/>
      <c r="M15" s="39">
        <v>15</v>
      </c>
      <c r="N15" s="41">
        <v>0.79</v>
      </c>
    </row>
    <row r="16" spans="1:14" x14ac:dyDescent="0.25">
      <c r="A16" s="37"/>
      <c r="B16" s="35"/>
      <c r="C16" s="35"/>
      <c r="M16" s="39">
        <v>20</v>
      </c>
      <c r="N16" s="41">
        <v>0.8</v>
      </c>
    </row>
    <row r="17" spans="1:14" ht="15.75" thickBot="1" x14ac:dyDescent="0.3">
      <c r="A17" s="37" t="s">
        <v>41</v>
      </c>
      <c r="B17" s="35" t="e">
        <f>$N$21*$B$15</f>
        <v>#DIV/0!</v>
      </c>
      <c r="M17" s="43" t="s">
        <v>44</v>
      </c>
      <c r="N17" s="44">
        <v>0.8</v>
      </c>
    </row>
    <row r="18" spans="1:14" x14ac:dyDescent="0.25">
      <c r="A18" s="37"/>
      <c r="B18" s="35"/>
      <c r="C18" s="35"/>
    </row>
    <row r="19" spans="1:14" x14ac:dyDescent="0.25">
      <c r="A19" s="37" t="s">
        <v>27</v>
      </c>
      <c r="B19" s="35" t="e">
        <f>AVERAGE(AVERAGE($B$7:$C$7),AVERAGE($B$8:$C$8))</f>
        <v>#DIV/0!</v>
      </c>
      <c r="C19" s="35"/>
      <c r="M19" s="70" t="s">
        <v>45</v>
      </c>
      <c r="N19" s="70"/>
    </row>
    <row r="20" spans="1:14" x14ac:dyDescent="0.25">
      <c r="A20" s="37"/>
      <c r="B20" s="35"/>
      <c r="C20" s="35"/>
      <c r="M20" s="33" t="s">
        <v>14</v>
      </c>
      <c r="N20" s="33" t="s">
        <v>31</v>
      </c>
    </row>
    <row r="21" spans="1:14" x14ac:dyDescent="0.25">
      <c r="A21" s="37" t="s">
        <v>26</v>
      </c>
      <c r="B21" s="35" t="e">
        <f>AVERAGE($B$11:$C$11)</f>
        <v>#DIV/0!</v>
      </c>
      <c r="C21" s="35"/>
      <c r="M21" s="45" t="e">
        <f>+B21</f>
        <v>#DIV/0!</v>
      </c>
      <c r="N21" s="46" t="e" cm="1">
        <f t="array" ref="N21">_xlfn.IFS(B21&lt;1, N6, B21&gt;20, N17,OR(B21&gt;=1, B21&lt;=20),VLOOKUP($B$21,$M$7:$N$16,2,TRUE))</f>
        <v>#DIV/0!</v>
      </c>
    </row>
    <row r="22" spans="1:14" x14ac:dyDescent="0.25">
      <c r="A22" s="37"/>
      <c r="B22" s="35"/>
      <c r="C22" s="35"/>
    </row>
    <row r="23" spans="1:14" x14ac:dyDescent="0.25">
      <c r="A23" s="37" t="s">
        <v>25</v>
      </c>
      <c r="B23" s="35" t="e">
        <f>+$B$19*$B$21</f>
        <v>#DIV/0!</v>
      </c>
      <c r="C23" s="35"/>
    </row>
    <row r="24" spans="1:14" x14ac:dyDescent="0.25">
      <c r="A24" s="37"/>
      <c r="B24" s="35"/>
      <c r="C24" s="35"/>
    </row>
    <row r="25" spans="1:14" x14ac:dyDescent="0.25">
      <c r="A25" s="37" t="s">
        <v>42</v>
      </c>
      <c r="B25" s="35" t="e">
        <f>+$B$17*$B$23</f>
        <v>#DIV/0!</v>
      </c>
      <c r="C25" s="35" t="s">
        <v>6</v>
      </c>
    </row>
    <row r="26" spans="1:14" x14ac:dyDescent="0.25">
      <c r="A26" s="37"/>
      <c r="B26" s="35" t="e">
        <f>+$B$25*448.8</f>
        <v>#DIV/0!</v>
      </c>
      <c r="C26" s="35" t="s">
        <v>43</v>
      </c>
    </row>
    <row r="28" spans="1:14" x14ac:dyDescent="0.25">
      <c r="A28" t="s">
        <v>46</v>
      </c>
    </row>
    <row r="29" spans="1:14" x14ac:dyDescent="0.25">
      <c r="A29"/>
    </row>
    <row r="30" spans="1:14" ht="14.45" customHeight="1" x14ac:dyDescent="0.25">
      <c r="A30" s="71" t="s">
        <v>63</v>
      </c>
      <c r="B30" s="71"/>
      <c r="C30" s="71"/>
      <c r="D30" s="71"/>
      <c r="E30" s="71"/>
      <c r="F30" s="71"/>
    </row>
    <row r="31" spans="1:14" x14ac:dyDescent="0.25">
      <c r="A31" s="71"/>
      <c r="B31" s="71"/>
      <c r="C31" s="71"/>
      <c r="D31" s="71"/>
      <c r="E31" s="71"/>
      <c r="F31" s="71"/>
    </row>
    <row r="32" spans="1:14" x14ac:dyDescent="0.25">
      <c r="A32" s="71"/>
      <c r="B32" s="71"/>
      <c r="C32" s="71"/>
      <c r="D32" s="71"/>
      <c r="E32" s="71"/>
      <c r="F32" s="71"/>
    </row>
    <row r="33" spans="1:6" x14ac:dyDescent="0.25">
      <c r="A33" s="71"/>
      <c r="B33" s="71"/>
      <c r="C33" s="71"/>
      <c r="D33" s="71"/>
      <c r="E33" s="71"/>
      <c r="F33" s="71"/>
    </row>
  </sheetData>
  <sheetProtection algorithmName="SHA-512" hashValue="vFrsa+j8TdDzyGBLgxc7L59iFDkwUXJ3Mn0JT1tsWl/t9SXl6Rau/b+qlhV3TqgS1tjn/xuBDOMSemd5LaGGfg==" saltValue="Z8oxHkzofBIS3qOKOPv8kg==" spinCount="100000" sheet="1" objects="1" scenarios="1"/>
  <mergeCells count="3">
    <mergeCell ref="M4:N4"/>
    <mergeCell ref="M19:N19"/>
    <mergeCell ref="A30:F3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C2:I8"/>
  <sheetViews>
    <sheetView workbookViewId="0">
      <selection activeCell="D36" sqref="D36"/>
    </sheetView>
  </sheetViews>
  <sheetFormatPr defaultRowHeight="15" x14ac:dyDescent="0.25"/>
  <sheetData>
    <row r="2" spans="3:9" x14ac:dyDescent="0.25">
      <c r="C2" s="27" t="s">
        <v>55</v>
      </c>
      <c r="D2" s="54"/>
      <c r="E2" t="s">
        <v>52</v>
      </c>
      <c r="H2" s="14"/>
      <c r="I2" s="15" t="s">
        <v>23</v>
      </c>
    </row>
    <row r="4" spans="3:9" x14ac:dyDescent="0.25">
      <c r="C4" s="27" t="s">
        <v>53</v>
      </c>
      <c r="D4" s="54"/>
      <c r="E4" t="s">
        <v>54</v>
      </c>
    </row>
    <row r="8" spans="3:9" x14ac:dyDescent="0.25">
      <c r="C8" s="27" t="s">
        <v>56</v>
      </c>
      <c r="D8" t="str">
        <f>IF(ISBLANK($D$2),"-----",IF(ISBLANK($D$4),"-----",+D2/D4*60))</f>
        <v>-----</v>
      </c>
      <c r="E8" t="s">
        <v>43</v>
      </c>
    </row>
  </sheetData>
  <sheetProtection algorithmName="SHA-512" hashValue="TCRrpyj7TYOVwGlXFRnOSo/4UN5YrJJwBbjS1PmWzAq2CPkD8RZtJswRAAK0L4Pit3YmwPLyox60BbjH3UgpEw==" saltValue="wwtLsSdiYe92RuaiGpD3Bg==" spinCount="100000"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Read_Me</vt:lpstr>
      <vt:lpstr>Flow Measurements</vt:lpstr>
      <vt:lpstr>Flumes and Weirs</vt:lpstr>
      <vt:lpstr>Float-Area Method</vt:lpstr>
      <vt:lpstr>Container Method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dnrcinstall</dc:creator>
  <cp:lastModifiedBy>Blythe, Todd</cp:lastModifiedBy>
  <dcterms:created xsi:type="dcterms:W3CDTF">2020-10-01T15:01:22Z</dcterms:created>
  <dcterms:modified xsi:type="dcterms:W3CDTF">2022-03-10T15:57:35Z</dcterms:modified>
</cp:coreProperties>
</file>