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tgov-my.sharepoint.com/personal/cn0438_mt_gov/Documents/H Drive/Water Commissioner Training/Reference Materials/Flumes/"/>
    </mc:Choice>
  </mc:AlternateContent>
  <xr:revisionPtr revIDLastSave="0" documentId="8_{2B621A71-A038-4991-B5C4-140788387B8B}" xr6:coauthVersionLast="47" xr6:coauthVersionMax="47" xr10:uidLastSave="{00000000-0000-0000-0000-000000000000}"/>
  <bookViews>
    <workbookView xWindow="42240" yWindow="1650" windowWidth="33660" windowHeight="18600" activeTab="1" xr2:uid="{29143233-9C71-46BB-9544-D17A3053F8ED}"/>
  </bookViews>
  <sheets>
    <sheet name="Instructions" sheetId="2" r:id="rId1"/>
    <sheet name="Calcul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1" l="1"/>
  <c r="U41" i="2"/>
  <c r="U42" i="2"/>
  <c r="U43" i="2"/>
  <c r="U44" i="2"/>
  <c r="U45" i="2"/>
  <c r="U46" i="2"/>
  <c r="U47" i="2"/>
  <c r="U48" i="2"/>
  <c r="U49" i="2"/>
  <c r="U50" i="2"/>
  <c r="U40" i="2"/>
  <c r="J15" i="1"/>
  <c r="J14" i="1"/>
  <c r="J17" i="1"/>
  <c r="J16" i="1"/>
  <c r="J10" i="1"/>
  <c r="B9" i="1"/>
  <c r="B8" i="1"/>
  <c r="B7" i="1"/>
  <c r="B6" i="1"/>
  <c r="B5" i="1"/>
  <c r="J9" i="1"/>
  <c r="J11" i="1" l="1"/>
  <c r="J20" i="1" s="1"/>
</calcChain>
</file>

<file path=xl/sharedStrings.xml><?xml version="1.0" encoding="utf-8"?>
<sst xmlns="http://schemas.openxmlformats.org/spreadsheetml/2006/main" count="71" uniqueCount="65">
  <si>
    <t>ns</t>
  </si>
  <si>
    <t>St</t>
  </si>
  <si>
    <t xml:space="preserve">  nf    </t>
  </si>
  <si>
    <t xml:space="preserve">  Cf    </t>
  </si>
  <si>
    <t xml:space="preserve">  Cs    </t>
  </si>
  <si>
    <t xml:space="preserve"> </t>
  </si>
  <si>
    <t>Width</t>
  </si>
  <si>
    <t>Submergence parameters</t>
  </si>
  <si>
    <t>Parshall flume measurements</t>
  </si>
  <si>
    <t>Ha =</t>
  </si>
  <si>
    <t>Hb =</t>
  </si>
  <si>
    <t>ft</t>
  </si>
  <si>
    <t>1 in</t>
  </si>
  <si>
    <t>2 in</t>
  </si>
  <si>
    <t>3 in</t>
  </si>
  <si>
    <t>6 in</t>
  </si>
  <si>
    <t>9 in</t>
  </si>
  <si>
    <t>1 ft</t>
  </si>
  <si>
    <t>1.5 ft</t>
  </si>
  <si>
    <t>2 ft</t>
  </si>
  <si>
    <t>3 ft</t>
  </si>
  <si>
    <t>4 ft</t>
  </si>
  <si>
    <t>5 ft</t>
  </si>
  <si>
    <t>6 ft</t>
  </si>
  <si>
    <t>7 ft</t>
  </si>
  <si>
    <t>8 ft</t>
  </si>
  <si>
    <t>10 ft</t>
  </si>
  <si>
    <t>12 ft</t>
  </si>
  <si>
    <t>Calculations</t>
  </si>
  <si>
    <t>Cs =</t>
  </si>
  <si>
    <t>nf =</t>
  </si>
  <si>
    <t>ns =</t>
  </si>
  <si>
    <t>S (Hb/Ha) =</t>
  </si>
  <si>
    <t>Submerged?</t>
  </si>
  <si>
    <t>Submergence</t>
  </si>
  <si>
    <t>Lookup parameters</t>
  </si>
  <si>
    <t>Calculation</t>
  </si>
  <si>
    <t>Flow rate, Q =</t>
  </si>
  <si>
    <t>CFS</t>
  </si>
  <si>
    <t>W =</t>
  </si>
  <si>
    <t>(ft)</t>
  </si>
  <si>
    <t>Submergence limit, St?</t>
  </si>
  <si>
    <t>This chooses the transition submergence that corresponds to the size of flume being analyzed.</t>
  </si>
  <si>
    <t>Measure the upstream staff gage depth</t>
  </si>
  <si>
    <t>Measure the downstream staff gage depth</t>
  </si>
  <si>
    <t>KEY</t>
  </si>
  <si>
    <t>User input</t>
  </si>
  <si>
    <t>Answer</t>
  </si>
  <si>
    <t>SUBMERGED PARSHALL FLUME CALCULATOR</t>
  </si>
  <si>
    <t>W, throat width =</t>
  </si>
  <si>
    <t>Measure the throat width (size) of the flume - select from the dropdown menu</t>
  </si>
  <si>
    <t>The flume's submergence must be in between the minimum limit (St) and the maximum limit (generally reported as around 90% submerged). Calculations are performed only if those are both true.</t>
  </si>
  <si>
    <t>THREE MEASUREMENTS REQUIRED</t>
  </si>
  <si>
    <t>(inches)</t>
  </si>
  <si>
    <t>(feet)</t>
  </si>
  <si>
    <t>W, flume size</t>
  </si>
  <si>
    <t>X</t>
  </si>
  <si>
    <t>5/16</t>
  </si>
  <si>
    <t>5/8</t>
  </si>
  <si>
    <t>MI</t>
  </si>
  <si>
    <t>If the flume is submerged, this will calculate the corrected flow rate in CFS and miners inches.</t>
  </si>
  <si>
    <t>Table 1: Distance X for different flume sizes</t>
  </si>
  <si>
    <r>
      <rPr>
        <b/>
        <sz val="11"/>
        <color theme="1"/>
        <rFont val="Calibri"/>
        <family val="2"/>
        <scheme val="minor"/>
      </rPr>
      <t>1) Flume throat width, W:</t>
    </r>
    <r>
      <rPr>
        <sz val="11"/>
        <color theme="1"/>
        <rFont val="Calibri"/>
        <family val="2"/>
        <scheme val="minor"/>
      </rPr>
      <t xml:space="preserve"> Measured inside width of the throat (drop) section. This is the size of the flume.</t>
    </r>
  </si>
  <si>
    <r>
      <rPr>
        <b/>
        <sz val="11"/>
        <color theme="1"/>
        <rFont val="Calibri"/>
        <family val="2"/>
        <scheme val="minor"/>
      </rPr>
      <t>2) Primary (upstream) measurement point, Ha:</t>
    </r>
    <r>
      <rPr>
        <sz val="11"/>
        <color theme="1"/>
        <rFont val="Calibri"/>
        <family val="2"/>
        <scheme val="minor"/>
      </rPr>
      <t xml:space="preserve"> Measured water depth in the converging section, at a point two-thirds of the length downstream of the converging section.</t>
    </r>
  </si>
  <si>
    <r>
      <rPr>
        <b/>
        <sz val="11"/>
        <color theme="1"/>
        <rFont val="Calibri"/>
        <family val="2"/>
        <scheme val="minor"/>
      </rPr>
      <t>3) Secondary (downstream) measurement point, Hb:</t>
    </r>
    <r>
      <rPr>
        <sz val="11"/>
        <color theme="1"/>
        <rFont val="Calibri"/>
        <family val="2"/>
        <scheme val="minor"/>
      </rPr>
      <t xml:space="preserve"> Measured water depth in the throat (drop) section of the flume, located a short distance X upstream of the end of the throat section. For Parshall flume sizes commonly used in water resources work (throat sizes of 6 inches to 8 feet), the distance </t>
    </r>
    <r>
      <rPr>
        <u/>
        <sz val="11"/>
        <color theme="1"/>
        <rFont val="Calibri"/>
        <family val="2"/>
        <scheme val="minor"/>
      </rPr>
      <t>X is 2 inches</t>
    </r>
    <r>
      <rPr>
        <sz val="11"/>
        <color theme="1"/>
        <rFont val="Calibri"/>
        <family val="2"/>
        <scheme val="minor"/>
      </rPr>
      <t xml:space="preserve">. See Table 1 for values of X for different flume sizes. Note that this is measured at the same zero elevation as Ha (it has the same datum). A basic spring clamp may be useful in the field for holding the staff gage in place on the flume at the appropriate elevation, so that the user can read the water depth. See the diagrams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</si>
</sst>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006100"/>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0" fontId="3" fillId="4" borderId="1" applyNumberFormat="0" applyAlignment="0" applyProtection="0"/>
  </cellStyleXfs>
  <cellXfs count="30">
    <xf numFmtId="0" fontId="0" fillId="0" borderId="0" xfId="0"/>
    <xf numFmtId="0" fontId="2" fillId="3" borderId="2" xfId="2" applyBorder="1"/>
    <xf numFmtId="0" fontId="4" fillId="0" borderId="0" xfId="0" applyFont="1"/>
    <xf numFmtId="0" fontId="4" fillId="0" borderId="2" xfId="0" applyFont="1" applyBorder="1" applyAlignment="1">
      <alignment horizontal="center"/>
    </xf>
    <xf numFmtId="0" fontId="0" fillId="0" borderId="2" xfId="0" applyBorder="1"/>
    <xf numFmtId="0" fontId="3" fillId="4" borderId="2" xfId="3" applyBorder="1"/>
    <xf numFmtId="0" fontId="0" fillId="0" borderId="3" xfId="0" applyBorder="1"/>
    <xf numFmtId="2" fontId="0" fillId="0" borderId="2" xfId="0" applyNumberFormat="1" applyBorder="1"/>
    <xf numFmtId="0" fontId="3" fillId="4" borderId="2" xfId="3" applyBorder="1" applyProtection="1"/>
    <xf numFmtId="2" fontId="1" fillId="2" borderId="2" xfId="1" applyNumberFormat="1" applyBorder="1" applyProtection="1"/>
    <xf numFmtId="0" fontId="4" fillId="0" borderId="2" xfId="0" applyFont="1" applyBorder="1"/>
    <xf numFmtId="0" fontId="1" fillId="2" borderId="2" xfId="1" applyBorder="1"/>
    <xf numFmtId="0" fontId="2" fillId="3" borderId="2" xfId="2" applyBorder="1" applyAlignment="1">
      <alignment horizontal="center"/>
    </xf>
    <xf numFmtId="2" fontId="3" fillId="4" borderId="2" xfId="3" applyNumberFormat="1" applyBorder="1" applyProtection="1"/>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quotePrefix="1" applyBorder="1" applyAlignment="1">
      <alignment horizontal="right"/>
    </xf>
    <xf numFmtId="0" fontId="0" fillId="0" borderId="11" xfId="0" applyBorder="1"/>
    <xf numFmtId="0" fontId="0" fillId="0" borderId="12" xfId="0" applyBorder="1"/>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xf>
    <xf numFmtId="0" fontId="0" fillId="0" borderId="0" xfId="0" applyAlignment="1">
      <alignment horizontal="left" wrapText="1"/>
    </xf>
    <xf numFmtId="0" fontId="4" fillId="0" borderId="2" xfId="0" applyFont="1" applyBorder="1" applyAlignment="1">
      <alignment horizontal="center"/>
    </xf>
  </cellXfs>
  <cellStyles count="4">
    <cellStyle name="Calculation" xfId="3" builtinId="22"/>
    <cellStyle name="Good" xfId="1" builtinId="26"/>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17</xdr:col>
      <xdr:colOff>0</xdr:colOff>
      <xdr:row>21</xdr:row>
      <xdr:rowOff>95250</xdr:rowOff>
    </xdr:to>
    <xdr:sp macro="" textlink="">
      <xdr:nvSpPr>
        <xdr:cNvPr id="3" name="TextBox 2">
          <a:extLst>
            <a:ext uri="{FF2B5EF4-FFF2-40B4-BE49-F238E27FC236}">
              <a16:creationId xmlns:a16="http://schemas.microsoft.com/office/drawing/2014/main" id="{0222FE18-D32E-4936-AE84-470B90F51B04}"/>
            </a:ext>
          </a:extLst>
        </xdr:cNvPr>
        <xdr:cNvSpPr txBox="1"/>
      </xdr:nvSpPr>
      <xdr:spPr>
        <a:xfrm>
          <a:off x="609600" y="190500"/>
          <a:ext cx="9753600" cy="390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worksheet provides a quick method to calculate corrected flow rates for submerged Parshall flumes of varying sizes. The calculations are based on the universal equation developed by Skogerboe, Hyatt, Johnson, and England (1965). The primary advantage is that this method does not require graphs or long, complex equations.</a:t>
          </a:r>
        </a:p>
        <a:p>
          <a:endParaRPr lang="en-US" sz="1100" baseline="0"/>
        </a:p>
        <a:p>
          <a:r>
            <a:rPr lang="en-US" sz="1100" baseline="0"/>
            <a:t>The user must enter only three measurements:</a:t>
          </a:r>
        </a:p>
        <a:p>
          <a:r>
            <a:rPr lang="en-US" sz="1100" baseline="0"/>
            <a:t>1) Flume throat width (select from the dropdown menu)</a:t>
          </a:r>
        </a:p>
        <a:p>
          <a:r>
            <a:rPr lang="en-US" sz="1100" baseline="0"/>
            <a:t>2) Staff gage height at the primary (upstream) measurement point, Ha</a:t>
          </a:r>
        </a:p>
        <a:p>
          <a:r>
            <a:rPr lang="en-US" sz="1100" baseline="0"/>
            <a:t>3) Staff gage height at the secondary (downstream) measurement point, Hb</a:t>
          </a:r>
        </a:p>
        <a:p>
          <a:endParaRPr lang="en-US" sz="1100" baseline="0"/>
        </a:p>
        <a:p>
          <a:r>
            <a:rPr lang="en-US" sz="1100" baseline="0"/>
            <a:t>These measurements must be obtained accurately and at the correct location. A discussion and diagrams of where to measure is included below. Throat width and primary measurement point, Ha, are the same for all applications. However, care must be taken to measure the secondary location, Hb, correctly. It should be measured using the same datum (zero elevation) as Ha and at a small distance, X, upstream from the downstream end of the throat section.</a:t>
          </a:r>
        </a:p>
        <a:p>
          <a:endParaRPr lang="en-US" sz="1100" baseline="0"/>
        </a:p>
        <a:p>
          <a:r>
            <a:rPr lang="en-US" sz="1100" baseline="0"/>
            <a:t>The spreadsheet chooses the correct parameters for the corresponding measurements, based on the flume size, and then completes the calculation. </a:t>
          </a:r>
          <a:r>
            <a:rPr lang="en-US" sz="1100" baseline="0">
              <a:solidFill>
                <a:schemeClr val="dk1"/>
              </a:solidFill>
              <a:effectLst/>
              <a:latin typeface="+mn-lt"/>
              <a:ea typeface="+mn-ea"/>
              <a:cs typeface="+mn-cs"/>
            </a:rPr>
            <a:t>Calculations are performed only in Imperial units. </a:t>
          </a:r>
          <a:r>
            <a:rPr lang="en-US" sz="1100" baseline="0"/>
            <a:t>Note that calculations are performed only if the flume is submerged above the transition submergence (St) but below a maximum limit of 90 percent. Below the transition submergence, normal rating charts or equations can be used for free flow. Above 90 percent, submergence cannot be practically accounted for, as small errors in measuring staff gage height become critical.</a:t>
          </a:r>
        </a:p>
        <a:p>
          <a:endParaRPr lang="en-US" sz="1100" baseline="0"/>
        </a:p>
        <a:p>
          <a:r>
            <a:rPr lang="en-US" sz="1100" u="sng" baseline="0"/>
            <a:t>Reference</a:t>
          </a:r>
          <a:r>
            <a:rPr lang="en-US" sz="1100" baseline="0"/>
            <a:t>:</a:t>
          </a:r>
        </a:p>
        <a:p>
          <a:r>
            <a:rPr lang="en-US" sz="1100" baseline="0"/>
            <a:t>Skogerboe, G., Hyatt, L., Johnson, R., England, D., Submerged Parshall Flumes of Small Size, 1965.  Merkley, G. Irrigation Conveyance &amp; Control:  Flow Measurement &amp; Structure Design, Utah State University, 2004.</a:t>
          </a:r>
        </a:p>
        <a:p>
          <a:endParaRPr lang="en-US" sz="1100" baseline="0"/>
        </a:p>
        <a:p>
          <a:r>
            <a:rPr lang="en-US" sz="1100" baseline="0"/>
            <a:t>(An adapted open-source version is available online at the following link: </a:t>
          </a:r>
          <a:r>
            <a:rPr lang="en-US" sz="1100" u="sng" baseline="0">
              <a:solidFill>
                <a:srgbClr val="0070C0"/>
              </a:solidFill>
            </a:rPr>
            <a:t>https://www.openchannelflow.com/blog/universal-equation-parshall-flume-submergence</a:t>
          </a:r>
          <a:r>
            <a:rPr lang="en-US" sz="1100" baseline="0"/>
            <a:t>)</a:t>
          </a:r>
        </a:p>
      </xdr:txBody>
    </xdr:sp>
    <xdr:clientData/>
  </xdr:twoCellAnchor>
  <xdr:twoCellAnchor>
    <xdr:from>
      <xdr:col>1</xdr:col>
      <xdr:colOff>0</xdr:colOff>
      <xdr:row>31</xdr:row>
      <xdr:rowOff>0</xdr:rowOff>
    </xdr:from>
    <xdr:to>
      <xdr:col>18</xdr:col>
      <xdr:colOff>142083</xdr:colOff>
      <xdr:row>65</xdr:row>
      <xdr:rowOff>133349</xdr:rowOff>
    </xdr:to>
    <xdr:grpSp>
      <xdr:nvGrpSpPr>
        <xdr:cNvPr id="26" name="Group 25">
          <a:extLst>
            <a:ext uri="{FF2B5EF4-FFF2-40B4-BE49-F238E27FC236}">
              <a16:creationId xmlns:a16="http://schemas.microsoft.com/office/drawing/2014/main" id="{6BAA5A8C-3CF6-490D-AB73-36F99D89E6DE}"/>
            </a:ext>
          </a:extLst>
        </xdr:cNvPr>
        <xdr:cNvGrpSpPr/>
      </xdr:nvGrpSpPr>
      <xdr:grpSpPr>
        <a:xfrm>
          <a:off x="609600" y="5905500"/>
          <a:ext cx="10505283" cy="6629399"/>
          <a:chOff x="609600" y="5334000"/>
          <a:chExt cx="10505283" cy="6610349"/>
        </a:xfrm>
      </xdr:grpSpPr>
      <xdr:pic>
        <xdr:nvPicPr>
          <xdr:cNvPr id="27" name="Picture 26">
            <a:extLst>
              <a:ext uri="{FF2B5EF4-FFF2-40B4-BE49-F238E27FC236}">
                <a16:creationId xmlns:a16="http://schemas.microsoft.com/office/drawing/2014/main" id="{EEC05286-69D1-E915-0075-D2397323594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86" t="3024" r="2451" b="50850"/>
          <a:stretch/>
        </xdr:blipFill>
        <xdr:spPr>
          <a:xfrm>
            <a:off x="609600" y="5334000"/>
            <a:ext cx="10505283" cy="6610349"/>
          </a:xfrm>
          <a:prstGeom prst="rect">
            <a:avLst/>
          </a:prstGeom>
        </xdr:spPr>
      </xdr:pic>
      <xdr:cxnSp macro="">
        <xdr:nvCxnSpPr>
          <xdr:cNvPr id="28" name="Straight Connector 27">
            <a:extLst>
              <a:ext uri="{FF2B5EF4-FFF2-40B4-BE49-F238E27FC236}">
                <a16:creationId xmlns:a16="http://schemas.microsoft.com/office/drawing/2014/main" id="{CA9E8D86-3A8D-5BF8-4897-4E81FD6B7836}"/>
              </a:ext>
            </a:extLst>
          </xdr:cNvPr>
          <xdr:cNvCxnSpPr/>
        </xdr:nvCxnSpPr>
        <xdr:spPr>
          <a:xfrm flipV="1">
            <a:off x="7762875" y="10125075"/>
            <a:ext cx="1714500" cy="9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Rectangle 28">
            <a:extLst>
              <a:ext uri="{FF2B5EF4-FFF2-40B4-BE49-F238E27FC236}">
                <a16:creationId xmlns:a16="http://schemas.microsoft.com/office/drawing/2014/main" id="{77CF3D02-7491-7A7E-BE5F-9E3850251C46}"/>
              </a:ext>
            </a:extLst>
          </xdr:cNvPr>
          <xdr:cNvSpPr/>
        </xdr:nvSpPr>
        <xdr:spPr>
          <a:xfrm>
            <a:off x="7191375" y="6105525"/>
            <a:ext cx="1543050" cy="1905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0" name="Rectangle 29">
            <a:extLst>
              <a:ext uri="{FF2B5EF4-FFF2-40B4-BE49-F238E27FC236}">
                <a16:creationId xmlns:a16="http://schemas.microsoft.com/office/drawing/2014/main" id="{00C1FF3A-CAD9-DC40-5175-2E8FB730F702}"/>
              </a:ext>
            </a:extLst>
          </xdr:cNvPr>
          <xdr:cNvSpPr/>
        </xdr:nvSpPr>
        <xdr:spPr>
          <a:xfrm>
            <a:off x="2495550" y="5819775"/>
            <a:ext cx="1543050" cy="1905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Rectangle 30">
            <a:extLst>
              <a:ext uri="{FF2B5EF4-FFF2-40B4-BE49-F238E27FC236}">
                <a16:creationId xmlns:a16="http://schemas.microsoft.com/office/drawing/2014/main" id="{932D0AF5-6B32-6B94-131D-585184E0AF98}"/>
              </a:ext>
            </a:extLst>
          </xdr:cNvPr>
          <xdr:cNvSpPr/>
        </xdr:nvSpPr>
        <xdr:spPr>
          <a:xfrm>
            <a:off x="6762750" y="11049000"/>
            <a:ext cx="152400" cy="1619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20</xdr:row>
      <xdr:rowOff>182879</xdr:rowOff>
    </xdr:from>
    <xdr:to>
      <xdr:col>5</xdr:col>
      <xdr:colOff>601980</xdr:colOff>
      <xdr:row>41</xdr:row>
      <xdr:rowOff>18088</xdr:rowOff>
    </xdr:to>
    <xdr:pic>
      <xdr:nvPicPr>
        <xdr:cNvPr id="6" name="Picture 5" descr="universal equation to correct for submergence in Parshall flumes">
          <a:extLst>
            <a:ext uri="{FF2B5EF4-FFF2-40B4-BE49-F238E27FC236}">
              <a16:creationId xmlns:a16="http://schemas.microsoft.com/office/drawing/2014/main" id="{5FA842B7-3702-4198-95AE-634DDFBE6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840479"/>
          <a:ext cx="3040380" cy="3675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27</xdr:row>
      <xdr:rowOff>0</xdr:rowOff>
    </xdr:from>
    <xdr:to>
      <xdr:col>11</xdr:col>
      <xdr:colOff>462915</xdr:colOff>
      <xdr:row>38</xdr:row>
      <xdr:rowOff>30480</xdr:rowOff>
    </xdr:to>
    <xdr:sp macro="" textlink="">
      <xdr:nvSpPr>
        <xdr:cNvPr id="2" name="TextBox 1">
          <a:extLst>
            <a:ext uri="{FF2B5EF4-FFF2-40B4-BE49-F238E27FC236}">
              <a16:creationId xmlns:a16="http://schemas.microsoft.com/office/drawing/2014/main" id="{568F8170-CDF8-4626-8431-EA7FA3B21285}"/>
            </a:ext>
          </a:extLst>
        </xdr:cNvPr>
        <xdr:cNvSpPr txBox="1"/>
      </xdr:nvSpPr>
      <xdr:spPr>
        <a:xfrm>
          <a:off x="4876800" y="5143500"/>
          <a:ext cx="3368040" cy="2125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order to avoid any inadvertent</a:t>
          </a:r>
          <a:r>
            <a:rPr lang="en-US" sz="1100" baseline="0"/>
            <a:t> changes to the calculations, t</a:t>
          </a:r>
          <a:r>
            <a:rPr lang="en-US" sz="1100"/>
            <a:t>his</a:t>
          </a:r>
          <a:r>
            <a:rPr lang="en-US" sz="1100" baseline="0"/>
            <a:t> worksheet is password-protected. The user is strongly encouraged not to unprotect the worksheet or to alter any of the cells (except for the three inputs). However, for advanced users who may wish to adapt this sheet, the password is:</a:t>
          </a:r>
        </a:p>
        <a:p>
          <a:endParaRPr lang="en-US" sz="1100" baseline="0"/>
        </a:p>
        <a:p>
          <a:r>
            <a:rPr lang="en-US" sz="1100" baseline="0"/>
            <a:t>parshall</a:t>
          </a:r>
        </a:p>
        <a:p>
          <a:endParaRPr lang="en-US" sz="1100" baseline="0"/>
        </a:p>
        <a:p>
          <a:r>
            <a:rPr lang="en-US" sz="1100" baseline="0"/>
            <a:t>(the name of the flume, in all lowercase, no other symbols or numbers)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1CCD-7B27-400D-96D1-5BD0CF738C19}">
  <dimension ref="B24:V50"/>
  <sheetViews>
    <sheetView topLeftCell="A51" workbookViewId="0">
      <selection activeCell="Y33" sqref="Y33"/>
    </sheetView>
  </sheetViews>
  <sheetFormatPr defaultRowHeight="15" x14ac:dyDescent="0.25"/>
  <sheetData>
    <row r="24" spans="2:20" x14ac:dyDescent="0.25">
      <c r="B24" s="2" t="s">
        <v>52</v>
      </c>
    </row>
    <row r="25" spans="2:20" x14ac:dyDescent="0.25">
      <c r="B25" s="27" t="s">
        <v>62</v>
      </c>
      <c r="C25" s="27"/>
      <c r="D25" s="27"/>
      <c r="E25" s="27"/>
      <c r="F25" s="27"/>
      <c r="G25" s="27"/>
      <c r="H25" s="27"/>
      <c r="I25" s="27"/>
      <c r="J25" s="27"/>
      <c r="K25" s="27"/>
      <c r="L25" s="27"/>
      <c r="M25" s="27"/>
      <c r="N25" s="27"/>
      <c r="O25" s="27"/>
      <c r="P25" s="27"/>
      <c r="Q25" s="27"/>
      <c r="R25" s="27"/>
    </row>
    <row r="26" spans="2:20" x14ac:dyDescent="0.25">
      <c r="B26" s="27" t="s">
        <v>63</v>
      </c>
      <c r="C26" s="27"/>
      <c r="D26" s="27"/>
      <c r="E26" s="27"/>
      <c r="F26" s="27"/>
      <c r="G26" s="27"/>
      <c r="H26" s="27"/>
      <c r="I26" s="27"/>
      <c r="J26" s="27"/>
      <c r="K26" s="27"/>
      <c r="L26" s="27"/>
      <c r="M26" s="27"/>
      <c r="N26" s="27"/>
      <c r="O26" s="27"/>
      <c r="P26" s="27"/>
      <c r="Q26" s="27"/>
      <c r="R26" s="27"/>
    </row>
    <row r="27" spans="2:20" ht="15" customHeight="1" x14ac:dyDescent="0.25">
      <c r="B27" s="28" t="s">
        <v>64</v>
      </c>
      <c r="C27" s="28"/>
      <c r="D27" s="28"/>
      <c r="E27" s="28"/>
      <c r="F27" s="28"/>
      <c r="G27" s="28"/>
      <c r="H27" s="28"/>
      <c r="I27" s="28"/>
      <c r="J27" s="28"/>
      <c r="K27" s="28"/>
      <c r="L27" s="28"/>
      <c r="M27" s="28"/>
      <c r="N27" s="28"/>
      <c r="O27" s="28"/>
      <c r="P27" s="28"/>
      <c r="Q27" s="28"/>
      <c r="R27" s="28"/>
    </row>
    <row r="28" spans="2:20" x14ac:dyDescent="0.25">
      <c r="B28" s="28"/>
      <c r="C28" s="28"/>
      <c r="D28" s="28"/>
      <c r="E28" s="28"/>
      <c r="F28" s="28"/>
      <c r="G28" s="28"/>
      <c r="H28" s="28"/>
      <c r="I28" s="28"/>
      <c r="J28" s="28"/>
      <c r="K28" s="28"/>
      <c r="L28" s="28"/>
      <c r="M28" s="28"/>
      <c r="N28" s="28"/>
      <c r="O28" s="28"/>
      <c r="P28" s="28"/>
      <c r="Q28" s="28"/>
      <c r="R28" s="28"/>
    </row>
    <row r="29" spans="2:20" x14ac:dyDescent="0.25">
      <c r="B29" s="28"/>
      <c r="C29" s="28"/>
      <c r="D29" s="28"/>
      <c r="E29" s="28"/>
      <c r="F29" s="28"/>
      <c r="G29" s="28"/>
      <c r="H29" s="28"/>
      <c r="I29" s="28"/>
      <c r="J29" s="28"/>
      <c r="K29" s="28"/>
      <c r="L29" s="28"/>
      <c r="M29" s="28"/>
      <c r="N29" s="28"/>
      <c r="O29" s="28"/>
      <c r="P29" s="28"/>
      <c r="Q29" s="28"/>
      <c r="R29" s="28"/>
    </row>
    <row r="30" spans="2:20" x14ac:dyDescent="0.25">
      <c r="B30" s="28"/>
      <c r="C30" s="28"/>
      <c r="D30" s="28"/>
      <c r="E30" s="28"/>
      <c r="F30" s="28"/>
      <c r="G30" s="28"/>
      <c r="H30" s="28"/>
      <c r="I30" s="28"/>
      <c r="J30" s="28"/>
      <c r="K30" s="28"/>
      <c r="L30" s="28"/>
      <c r="M30" s="28"/>
      <c r="N30" s="28"/>
      <c r="O30" s="28"/>
      <c r="P30" s="28"/>
      <c r="Q30" s="28"/>
      <c r="R30" s="28"/>
    </row>
    <row r="32" spans="2:20" ht="15.75" thickBot="1" x14ac:dyDescent="0.3">
      <c r="T32" s="2" t="s">
        <v>61</v>
      </c>
    </row>
    <row r="33" spans="20:22" x14ac:dyDescent="0.25">
      <c r="T33" s="25" t="s">
        <v>55</v>
      </c>
      <c r="U33" s="26"/>
      <c r="V33" s="20" t="s">
        <v>56</v>
      </c>
    </row>
    <row r="34" spans="20:22" x14ac:dyDescent="0.25">
      <c r="T34" s="14" t="s">
        <v>53</v>
      </c>
      <c r="U34" s="15" t="s">
        <v>54</v>
      </c>
      <c r="V34" s="21" t="s">
        <v>53</v>
      </c>
    </row>
    <row r="35" spans="20:22" x14ac:dyDescent="0.25">
      <c r="T35" s="16">
        <v>1</v>
      </c>
      <c r="U35" s="17"/>
      <c r="V35" s="22" t="s">
        <v>57</v>
      </c>
    </row>
    <row r="36" spans="20:22" x14ac:dyDescent="0.25">
      <c r="T36" s="16">
        <v>2</v>
      </c>
      <c r="U36" s="17"/>
      <c r="V36" s="22" t="s">
        <v>58</v>
      </c>
    </row>
    <row r="37" spans="20:22" x14ac:dyDescent="0.25">
      <c r="T37" s="16">
        <v>3</v>
      </c>
      <c r="U37" s="17"/>
      <c r="V37" s="23">
        <v>1</v>
      </c>
    </row>
    <row r="38" spans="20:22" x14ac:dyDescent="0.25">
      <c r="T38" s="16">
        <v>6</v>
      </c>
      <c r="U38" s="17"/>
      <c r="V38" s="23">
        <v>2</v>
      </c>
    </row>
    <row r="39" spans="20:22" x14ac:dyDescent="0.25">
      <c r="T39" s="16">
        <v>9</v>
      </c>
      <c r="U39" s="17"/>
      <c r="V39" s="23">
        <v>2</v>
      </c>
    </row>
    <row r="40" spans="20:22" x14ac:dyDescent="0.25">
      <c r="T40" s="16">
        <v>12</v>
      </c>
      <c r="U40" s="17">
        <f>T40/12</f>
        <v>1</v>
      </c>
      <c r="V40" s="23">
        <v>2</v>
      </c>
    </row>
    <row r="41" spans="20:22" x14ac:dyDescent="0.25">
      <c r="T41" s="16">
        <v>18</v>
      </c>
      <c r="U41" s="17">
        <f t="shared" ref="U41:U50" si="0">T41/12</f>
        <v>1.5</v>
      </c>
      <c r="V41" s="23">
        <v>2</v>
      </c>
    </row>
    <row r="42" spans="20:22" x14ac:dyDescent="0.25">
      <c r="T42" s="16">
        <v>24</v>
      </c>
      <c r="U42" s="17">
        <f t="shared" si="0"/>
        <v>2</v>
      </c>
      <c r="V42" s="23">
        <v>2</v>
      </c>
    </row>
    <row r="43" spans="20:22" x14ac:dyDescent="0.25">
      <c r="T43" s="16">
        <v>36</v>
      </c>
      <c r="U43" s="17">
        <f t="shared" si="0"/>
        <v>3</v>
      </c>
      <c r="V43" s="23">
        <v>2</v>
      </c>
    </row>
    <row r="44" spans="20:22" x14ac:dyDescent="0.25">
      <c r="T44" s="16">
        <v>48</v>
      </c>
      <c r="U44" s="17">
        <f t="shared" si="0"/>
        <v>4</v>
      </c>
      <c r="V44" s="23">
        <v>2</v>
      </c>
    </row>
    <row r="45" spans="20:22" x14ac:dyDescent="0.25">
      <c r="T45" s="16">
        <v>60</v>
      </c>
      <c r="U45" s="17">
        <f t="shared" si="0"/>
        <v>5</v>
      </c>
      <c r="V45" s="23">
        <v>2</v>
      </c>
    </row>
    <row r="46" spans="20:22" x14ac:dyDescent="0.25">
      <c r="T46" s="16">
        <v>72</v>
      </c>
      <c r="U46" s="17">
        <f t="shared" si="0"/>
        <v>6</v>
      </c>
      <c r="V46" s="23">
        <v>2</v>
      </c>
    </row>
    <row r="47" spans="20:22" x14ac:dyDescent="0.25">
      <c r="T47" s="16">
        <v>84</v>
      </c>
      <c r="U47" s="17">
        <f t="shared" si="0"/>
        <v>7</v>
      </c>
      <c r="V47" s="23">
        <v>2</v>
      </c>
    </row>
    <row r="48" spans="20:22" x14ac:dyDescent="0.25">
      <c r="T48" s="16">
        <v>96</v>
      </c>
      <c r="U48" s="17">
        <f t="shared" si="0"/>
        <v>8</v>
      </c>
      <c r="V48" s="23">
        <v>2</v>
      </c>
    </row>
    <row r="49" spans="20:22" x14ac:dyDescent="0.25">
      <c r="T49" s="16">
        <v>120</v>
      </c>
      <c r="U49" s="17">
        <f t="shared" si="0"/>
        <v>10</v>
      </c>
      <c r="V49" s="23">
        <v>12</v>
      </c>
    </row>
    <row r="50" spans="20:22" ht="15.75" thickBot="1" x14ac:dyDescent="0.3">
      <c r="T50" s="18">
        <v>144</v>
      </c>
      <c r="U50" s="19">
        <f t="shared" si="0"/>
        <v>12</v>
      </c>
      <c r="V50" s="24">
        <v>12</v>
      </c>
    </row>
  </sheetData>
  <mergeCells count="4">
    <mergeCell ref="T33:U33"/>
    <mergeCell ref="B25:R25"/>
    <mergeCell ref="B26:R26"/>
    <mergeCell ref="B27:R3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54D1E-CE30-4799-8C1D-EDBBE5DAAB99}">
  <dimension ref="A1:L26"/>
  <sheetViews>
    <sheetView tabSelected="1" workbookViewId="0"/>
  </sheetViews>
  <sheetFormatPr defaultRowHeight="15" x14ac:dyDescent="0.25"/>
  <cols>
    <col min="9" max="9" width="25.28515625" bestFit="1" customWidth="1"/>
  </cols>
  <sheetData>
    <row r="1" spans="1:12" x14ac:dyDescent="0.25">
      <c r="A1" s="2" t="s">
        <v>48</v>
      </c>
    </row>
    <row r="3" spans="1:12" x14ac:dyDescent="0.25">
      <c r="A3" s="3" t="s">
        <v>6</v>
      </c>
      <c r="B3" s="3" t="s">
        <v>6</v>
      </c>
      <c r="C3" s="29" t="s">
        <v>7</v>
      </c>
      <c r="D3" s="29"/>
      <c r="E3" s="29"/>
      <c r="F3" s="29"/>
      <c r="G3" s="29"/>
      <c r="I3" s="2" t="s">
        <v>8</v>
      </c>
    </row>
    <row r="4" spans="1:12" x14ac:dyDescent="0.25">
      <c r="A4" s="3"/>
      <c r="B4" s="3" t="s">
        <v>40</v>
      </c>
      <c r="C4" s="3" t="s">
        <v>3</v>
      </c>
      <c r="D4" s="3" t="s">
        <v>4</v>
      </c>
      <c r="E4" s="3" t="s">
        <v>2</v>
      </c>
      <c r="F4" s="3" t="s">
        <v>0</v>
      </c>
      <c r="G4" s="3" t="s">
        <v>1</v>
      </c>
      <c r="I4" s="4" t="s">
        <v>49</v>
      </c>
      <c r="J4" s="12" t="s">
        <v>18</v>
      </c>
      <c r="K4" s="4"/>
      <c r="L4" s="6" t="s">
        <v>50</v>
      </c>
    </row>
    <row r="5" spans="1:12" x14ac:dyDescent="0.25">
      <c r="A5" s="7" t="s">
        <v>12</v>
      </c>
      <c r="B5" s="7">
        <f>1/12</f>
        <v>8.3333333333333329E-2</v>
      </c>
      <c r="C5" s="4">
        <v>4.0599999999999996</v>
      </c>
      <c r="D5" s="4">
        <v>3.59</v>
      </c>
      <c r="E5" s="4">
        <v>1.55</v>
      </c>
      <c r="F5" s="4">
        <v>1</v>
      </c>
      <c r="G5" s="4">
        <v>0.56000000000000005</v>
      </c>
      <c r="I5" s="4" t="s">
        <v>9</v>
      </c>
      <c r="J5" s="1">
        <v>0.39</v>
      </c>
      <c r="K5" s="4" t="s">
        <v>11</v>
      </c>
      <c r="L5" t="s">
        <v>43</v>
      </c>
    </row>
    <row r="6" spans="1:12" x14ac:dyDescent="0.25">
      <c r="A6" s="7" t="s">
        <v>13</v>
      </c>
      <c r="B6" s="7">
        <f>2/12</f>
        <v>0.16666666666666666</v>
      </c>
      <c r="C6" s="4">
        <v>4.0599999999999996</v>
      </c>
      <c r="D6" s="4">
        <v>3.67</v>
      </c>
      <c r="E6" s="4">
        <v>1.55</v>
      </c>
      <c r="F6" s="4">
        <v>1</v>
      </c>
      <c r="G6" s="4">
        <v>0.61</v>
      </c>
      <c r="I6" s="4" t="s">
        <v>10</v>
      </c>
      <c r="J6" s="1">
        <v>0.28999999999999998</v>
      </c>
      <c r="K6" s="4" t="s">
        <v>11</v>
      </c>
      <c r="L6" t="s">
        <v>44</v>
      </c>
    </row>
    <row r="7" spans="1:12" x14ac:dyDescent="0.25">
      <c r="A7" s="4" t="s">
        <v>14</v>
      </c>
      <c r="B7" s="4">
        <f>3/12</f>
        <v>0.25</v>
      </c>
      <c r="C7" s="4">
        <v>3.97</v>
      </c>
      <c r="D7" s="4">
        <v>3.66</v>
      </c>
      <c r="E7" s="4">
        <v>1.55</v>
      </c>
      <c r="F7" s="4">
        <v>1</v>
      </c>
      <c r="G7" s="4">
        <v>0.64</v>
      </c>
    </row>
    <row r="8" spans="1:12" x14ac:dyDescent="0.25">
      <c r="A8" s="4" t="s">
        <v>15</v>
      </c>
      <c r="B8" s="4">
        <f>6/12</f>
        <v>0.5</v>
      </c>
      <c r="C8" s="4">
        <v>4.12</v>
      </c>
      <c r="D8" s="4">
        <v>3.32</v>
      </c>
      <c r="E8" s="4">
        <v>1.58</v>
      </c>
      <c r="F8" s="4">
        <v>1.08</v>
      </c>
      <c r="G8" s="4">
        <v>0.55000000000000004</v>
      </c>
      <c r="I8" s="2" t="s">
        <v>34</v>
      </c>
    </row>
    <row r="9" spans="1:12" x14ac:dyDescent="0.25">
      <c r="A9" s="4" t="s">
        <v>16</v>
      </c>
      <c r="B9" s="4">
        <f>9/12</f>
        <v>0.75</v>
      </c>
      <c r="C9" s="4">
        <v>4.09</v>
      </c>
      <c r="D9" s="4">
        <v>3.35</v>
      </c>
      <c r="E9" s="4">
        <v>1.53</v>
      </c>
      <c r="F9" s="4">
        <v>1.06</v>
      </c>
      <c r="G9" s="4">
        <v>0.63</v>
      </c>
      <c r="I9" s="4" t="s">
        <v>32</v>
      </c>
      <c r="J9" s="13">
        <f>J6/J5</f>
        <v>0.7435897435897435</v>
      </c>
      <c r="K9" s="4"/>
    </row>
    <row r="10" spans="1:12" x14ac:dyDescent="0.25">
      <c r="A10" s="4" t="s">
        <v>17</v>
      </c>
      <c r="B10" s="4">
        <v>1</v>
      </c>
      <c r="C10" s="4">
        <v>4</v>
      </c>
      <c r="D10" s="4">
        <v>3.11</v>
      </c>
      <c r="E10" s="4">
        <v>1.52</v>
      </c>
      <c r="F10" s="4">
        <v>1.08</v>
      </c>
      <c r="G10" s="4">
        <v>0.62</v>
      </c>
      <c r="I10" s="4" t="s">
        <v>41</v>
      </c>
      <c r="J10" s="8">
        <f>VLOOKUP($J$4,A5:G20,7,FALSE)</f>
        <v>0.64</v>
      </c>
      <c r="K10" s="4"/>
      <c r="L10" t="s">
        <v>42</v>
      </c>
    </row>
    <row r="11" spans="1:12" x14ac:dyDescent="0.25">
      <c r="A11" s="4" t="s">
        <v>18</v>
      </c>
      <c r="B11" s="4">
        <v>1.5</v>
      </c>
      <c r="C11" s="4">
        <v>4</v>
      </c>
      <c r="D11" s="4">
        <v>2.95</v>
      </c>
      <c r="E11" s="4">
        <v>1.54</v>
      </c>
      <c r="F11" s="4">
        <v>1.115</v>
      </c>
      <c r="G11" s="4">
        <v>0.64</v>
      </c>
      <c r="I11" s="4" t="s">
        <v>33</v>
      </c>
      <c r="J11" s="8" t="b">
        <f>AND(J9&gt;J10,J9&lt;0.9)</f>
        <v>1</v>
      </c>
      <c r="K11" s="4"/>
      <c r="L11" t="s">
        <v>51</v>
      </c>
    </row>
    <row r="12" spans="1:12" x14ac:dyDescent="0.25">
      <c r="A12" s="4" t="s">
        <v>19</v>
      </c>
      <c r="B12" s="4">
        <v>2</v>
      </c>
      <c r="C12" s="4">
        <v>4</v>
      </c>
      <c r="D12" s="4">
        <v>2.97</v>
      </c>
      <c r="E12" s="4">
        <v>1.55</v>
      </c>
      <c r="F12" s="4">
        <v>1.1399999999999999</v>
      </c>
      <c r="G12" s="4">
        <v>0.66</v>
      </c>
    </row>
    <row r="13" spans="1:12" x14ac:dyDescent="0.25">
      <c r="A13" s="4" t="s">
        <v>20</v>
      </c>
      <c r="B13" s="4">
        <v>3</v>
      </c>
      <c r="C13" s="4">
        <v>4</v>
      </c>
      <c r="D13" s="4">
        <v>2.87</v>
      </c>
      <c r="E13" s="4">
        <v>1.56</v>
      </c>
      <c r="F13" s="4">
        <v>1.1599999999999999</v>
      </c>
      <c r="G13" s="4">
        <v>0.68</v>
      </c>
      <c r="I13" s="2" t="s">
        <v>35</v>
      </c>
    </row>
    <row r="14" spans="1:12" x14ac:dyDescent="0.25">
      <c r="A14" s="4" t="s">
        <v>21</v>
      </c>
      <c r="B14" s="4">
        <v>4</v>
      </c>
      <c r="C14" s="4">
        <v>4</v>
      </c>
      <c r="D14" s="4">
        <v>2.78</v>
      </c>
      <c r="E14" s="4">
        <v>1.57</v>
      </c>
      <c r="F14" s="4">
        <v>1.1850000000000001</v>
      </c>
      <c r="G14" s="4">
        <v>0.7</v>
      </c>
      <c r="I14" s="4" t="s">
        <v>39</v>
      </c>
      <c r="J14" s="8">
        <f>VLOOKUP($J$4,A5:G20,2,FALSE)</f>
        <v>1.5</v>
      </c>
      <c r="K14" s="4" t="s">
        <v>11</v>
      </c>
    </row>
    <row r="15" spans="1:12" x14ac:dyDescent="0.25">
      <c r="A15" s="4" t="s">
        <v>22</v>
      </c>
      <c r="B15" s="4">
        <v>5</v>
      </c>
      <c r="C15" s="4">
        <v>4</v>
      </c>
      <c r="D15" s="4">
        <v>2.71</v>
      </c>
      <c r="E15" s="4">
        <v>1.58</v>
      </c>
      <c r="F15" s="4">
        <v>1.2050000000000001</v>
      </c>
      <c r="G15" s="4">
        <v>0.72</v>
      </c>
      <c r="I15" s="4" t="s">
        <v>29</v>
      </c>
      <c r="J15" s="8">
        <f>VLOOKUP($J$4,A5:G20,4,FALSE)</f>
        <v>2.95</v>
      </c>
      <c r="K15" s="4"/>
    </row>
    <row r="16" spans="1:12" x14ac:dyDescent="0.25">
      <c r="A16" s="4" t="s">
        <v>23</v>
      </c>
      <c r="B16" s="4">
        <v>6</v>
      </c>
      <c r="C16" s="4">
        <v>4</v>
      </c>
      <c r="D16" s="4">
        <v>2.64</v>
      </c>
      <c r="E16" s="4">
        <v>1.59</v>
      </c>
      <c r="F16" s="4">
        <v>1.23</v>
      </c>
      <c r="G16" s="4">
        <v>0.74</v>
      </c>
      <c r="I16" s="4" t="s">
        <v>30</v>
      </c>
      <c r="J16" s="8">
        <f>VLOOKUP($J$4,A5:G20,5,FALSE)</f>
        <v>1.54</v>
      </c>
      <c r="K16" s="4"/>
    </row>
    <row r="17" spans="1:12" x14ac:dyDescent="0.25">
      <c r="A17" s="4" t="s">
        <v>24</v>
      </c>
      <c r="B17" s="4">
        <v>7</v>
      </c>
      <c r="C17" s="4">
        <v>4</v>
      </c>
      <c r="D17" s="4">
        <v>2.59</v>
      </c>
      <c r="E17" s="4">
        <v>1.6</v>
      </c>
      <c r="F17" s="4">
        <v>1.25</v>
      </c>
      <c r="G17" s="4">
        <v>0.76</v>
      </c>
      <c r="I17" s="4" t="s">
        <v>31</v>
      </c>
      <c r="J17" s="8">
        <f>VLOOKUP($J$4,A5:G20,6,FALSE)</f>
        <v>1.115</v>
      </c>
      <c r="K17" s="4"/>
    </row>
    <row r="18" spans="1:12" x14ac:dyDescent="0.25">
      <c r="A18" s="4" t="s">
        <v>25</v>
      </c>
      <c r="B18" s="4">
        <v>8</v>
      </c>
      <c r="C18" s="4">
        <v>4</v>
      </c>
      <c r="D18" s="4">
        <v>2.5499999999999998</v>
      </c>
      <c r="E18" s="4">
        <v>1.6</v>
      </c>
      <c r="F18" s="4">
        <v>1.26</v>
      </c>
      <c r="G18" s="4">
        <v>0.78</v>
      </c>
    </row>
    <row r="19" spans="1:12" x14ac:dyDescent="0.25">
      <c r="A19" s="4" t="s">
        <v>26</v>
      </c>
      <c r="B19" s="4">
        <v>10</v>
      </c>
      <c r="C19" s="4">
        <v>4.01</v>
      </c>
      <c r="D19" s="4">
        <v>2.48</v>
      </c>
      <c r="E19" s="4">
        <v>1.59</v>
      </c>
      <c r="F19" s="4">
        <v>1.2749999999999999</v>
      </c>
      <c r="G19" s="4">
        <v>0.8</v>
      </c>
      <c r="I19" s="2" t="s">
        <v>36</v>
      </c>
    </row>
    <row r="20" spans="1:12" x14ac:dyDescent="0.25">
      <c r="A20" s="4" t="s">
        <v>27</v>
      </c>
      <c r="B20" s="4">
        <v>12</v>
      </c>
      <c r="C20" s="4">
        <v>3.96</v>
      </c>
      <c r="D20" s="4">
        <v>2.4500000000000002</v>
      </c>
      <c r="E20" s="4">
        <v>1.59</v>
      </c>
      <c r="F20" s="4">
        <v>1.2749999999999999</v>
      </c>
      <c r="G20" s="4">
        <v>0.8</v>
      </c>
      <c r="I20" s="4" t="s">
        <v>37</v>
      </c>
      <c r="J20" s="9">
        <f>IF(J11=TRUE,(J15*J14*((J5-J6)^J16))/((-(LOG10(J9)+0.0044))^J17),"Not applicable")</f>
        <v>1.3052931703092876</v>
      </c>
      <c r="K20" s="4" t="s">
        <v>38</v>
      </c>
      <c r="L20" t="s">
        <v>60</v>
      </c>
    </row>
    <row r="21" spans="1:12" x14ac:dyDescent="0.25">
      <c r="A21" t="s">
        <v>5</v>
      </c>
      <c r="I21" s="4" t="s">
        <v>37</v>
      </c>
      <c r="J21" s="9">
        <f>J20*40</f>
        <v>52.211726812371502</v>
      </c>
      <c r="K21" s="4" t="s">
        <v>59</v>
      </c>
    </row>
    <row r="23" spans="1:12" x14ac:dyDescent="0.25">
      <c r="I23" s="10" t="s">
        <v>45</v>
      </c>
    </row>
    <row r="24" spans="1:12" x14ac:dyDescent="0.25">
      <c r="I24" s="1" t="s">
        <v>46</v>
      </c>
    </row>
    <row r="25" spans="1:12" x14ac:dyDescent="0.25">
      <c r="I25" s="5" t="s">
        <v>28</v>
      </c>
    </row>
    <row r="26" spans="1:12" x14ac:dyDescent="0.25">
      <c r="I26" s="11" t="s">
        <v>47</v>
      </c>
    </row>
  </sheetData>
  <sheetProtection algorithmName="SHA-512" hashValue="6c9j1V9ZM4+PMYChXd7syL+rEMNgG+VbZG/VasDBYI9B6DDg5RBGZIeT/NnnYe9ROJVv6Ic8Nu5zCXoS83hITA==" saltValue="DMsQN7KDHEamHQF5Fl/Ynw==" spinCount="100000" sheet="1" objects="1" scenarios="1"/>
  <protectedRanges>
    <protectedRange sqref="J4:J6" name="Range1"/>
  </protectedRanges>
  <mergeCells count="1">
    <mergeCell ref="C3:G3"/>
  </mergeCells>
  <dataValidations count="1">
    <dataValidation type="list" allowBlank="1" showInputMessage="1" showErrorMessage="1" sqref="J4" xr:uid="{0FB6E8F9-9C3D-499E-A3CF-AAE5DC7F698D}">
      <formula1>$A$5:$A$20</formula1>
    </dataValidation>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Zundel</dc:creator>
  <cp:lastModifiedBy>Norberg, Matthew</cp:lastModifiedBy>
  <dcterms:created xsi:type="dcterms:W3CDTF">2022-08-02T18:04:43Z</dcterms:created>
  <dcterms:modified xsi:type="dcterms:W3CDTF">2023-07-10T21:10:32Z</dcterms:modified>
</cp:coreProperties>
</file>